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600" yWindow="1710" windowWidth="8895" windowHeight="3345" activeTab="4"/>
  </bookViews>
  <sheets>
    <sheet name="Sorted by Report No." sheetId="21" r:id="rId1"/>
    <sheet name="Sorted by Department" sheetId="31" r:id="rId2"/>
    <sheet name="Sorted by Vendor" sheetId="32" r:id="rId3"/>
    <sheet name="Analysis" sheetId="34" r:id="rId4"/>
    <sheet name="Summary" sheetId="33" r:id="rId5"/>
  </sheets>
  <definedNames>
    <definedName name="_xlnm.Print_Area" localSheetId="3">Analysis!$B$1:$H$489</definedName>
    <definedName name="_xlnm.Print_Area" localSheetId="1">'Sorted by Department'!$A$1:$Q$493</definedName>
    <definedName name="_xlnm.Print_Area" localSheetId="0">'Sorted by Report No.'!$A$1:$Q$493</definedName>
    <definedName name="_xlnm.Print_Area" localSheetId="2">'Sorted by Vendor'!$A$1:$Q$493</definedName>
    <definedName name="_xlnm.Print_Titles" localSheetId="3">Analysis!$1:$1</definedName>
    <definedName name="_xlnm.Print_Titles" localSheetId="1">'Sorted by Department'!$1:$1</definedName>
    <definedName name="_xlnm.Print_Titles" localSheetId="0">'Sorted by Report No.'!$1:$1</definedName>
    <definedName name="_xlnm.Print_Titles" localSheetId="2">'Sorted by Vendor'!$1:$1</definedName>
  </definedNames>
  <calcPr calcId="144525"/>
</workbook>
</file>

<file path=xl/calcChain.xml><?xml version="1.0" encoding="utf-8"?>
<calcChain xmlns="http://schemas.openxmlformats.org/spreadsheetml/2006/main">
  <c r="H496" i="34" l="1"/>
  <c r="H495" i="34"/>
  <c r="H494" i="34"/>
  <c r="G496" i="34"/>
  <c r="G495" i="34"/>
  <c r="G494" i="34"/>
  <c r="G492" i="34"/>
  <c r="H472" i="34"/>
  <c r="G472" i="34"/>
  <c r="H471" i="34"/>
  <c r="G471" i="34"/>
  <c r="H69" i="34"/>
  <c r="G69" i="34"/>
  <c r="H446" i="34"/>
  <c r="G446" i="34"/>
  <c r="H278" i="34"/>
  <c r="G278" i="34"/>
  <c r="G166" i="34"/>
  <c r="H342" i="34"/>
  <c r="G342" i="34"/>
  <c r="G331" i="34"/>
  <c r="G113" i="34"/>
  <c r="H374" i="34"/>
  <c r="G374" i="34"/>
  <c r="G384" i="34"/>
  <c r="G151" i="34"/>
  <c r="H451" i="34"/>
  <c r="G451" i="34"/>
  <c r="H437" i="34"/>
  <c r="G437" i="34"/>
  <c r="H486" i="34"/>
  <c r="G486" i="34"/>
  <c r="H436" i="34"/>
  <c r="G436" i="34"/>
  <c r="H192" i="34"/>
  <c r="G192" i="34"/>
  <c r="H275" i="34"/>
  <c r="G275" i="34"/>
  <c r="H445" i="34"/>
  <c r="G445" i="34"/>
  <c r="H187" i="34"/>
  <c r="G187" i="34"/>
  <c r="H461" i="34"/>
  <c r="G461" i="34"/>
  <c r="H460" i="34"/>
  <c r="G460" i="34"/>
  <c r="H453" i="34"/>
  <c r="G453" i="34"/>
  <c r="G112" i="34"/>
  <c r="H373" i="34"/>
  <c r="G373" i="34"/>
  <c r="H467" i="34"/>
  <c r="G467" i="34"/>
  <c r="G329" i="34"/>
  <c r="H308" i="34"/>
  <c r="G308" i="34"/>
  <c r="H341" i="34"/>
  <c r="G341" i="34"/>
  <c r="H377" i="34"/>
  <c r="G377" i="34"/>
  <c r="H274" i="34"/>
  <c r="G274" i="34"/>
  <c r="H189" i="34"/>
  <c r="G189" i="34"/>
  <c r="H336" i="34"/>
  <c r="G336" i="34"/>
  <c r="H102" i="34"/>
  <c r="G102" i="34"/>
  <c r="H483" i="34"/>
  <c r="G483" i="34"/>
  <c r="H363" i="34"/>
  <c r="G363" i="34"/>
  <c r="H311" i="34"/>
  <c r="G311" i="34"/>
  <c r="H312" i="34"/>
  <c r="G312" i="34"/>
  <c r="H290" i="34"/>
  <c r="G290" i="34"/>
  <c r="H328" i="34"/>
  <c r="G328" i="34"/>
  <c r="H447" i="34"/>
  <c r="G447" i="34"/>
  <c r="G420" i="34"/>
  <c r="H468" i="34"/>
  <c r="G468" i="34"/>
  <c r="H470" i="34"/>
  <c r="G470" i="34"/>
  <c r="H160" i="34"/>
  <c r="G160" i="34"/>
  <c r="H272" i="34"/>
  <c r="G272" i="34"/>
  <c r="H111" i="34"/>
  <c r="G111" i="34"/>
  <c r="H185" i="34"/>
  <c r="G185" i="34"/>
  <c r="G238" i="34"/>
  <c r="G383" i="34"/>
  <c r="H481" i="34"/>
  <c r="G481" i="34"/>
  <c r="H186" i="34"/>
  <c r="G186" i="34"/>
  <c r="G339" i="34"/>
  <c r="H122" i="34"/>
  <c r="G122" i="34"/>
  <c r="H372" i="34"/>
  <c r="G372" i="34"/>
  <c r="H289" i="34"/>
  <c r="G289" i="34"/>
  <c r="H237" i="34"/>
  <c r="G237" i="34"/>
  <c r="H449" i="34"/>
  <c r="G449" i="34"/>
  <c r="H343" i="34"/>
  <c r="G343" i="34"/>
  <c r="H271" i="34"/>
  <c r="G271" i="34"/>
  <c r="H399" i="34"/>
  <c r="G399" i="34"/>
  <c r="H350" i="34"/>
  <c r="G350" i="34"/>
  <c r="H227" i="34"/>
  <c r="G227" i="34"/>
  <c r="H326" i="34"/>
  <c r="G326" i="34"/>
  <c r="H435" i="34"/>
  <c r="G435" i="34"/>
  <c r="H210" i="34"/>
  <c r="G210" i="34"/>
  <c r="H450" i="34"/>
  <c r="G450" i="34"/>
  <c r="H325" i="34"/>
  <c r="G325" i="34"/>
  <c r="H236" i="34"/>
  <c r="G236" i="34"/>
  <c r="H324" i="34"/>
  <c r="G324" i="34"/>
  <c r="H418" i="34"/>
  <c r="G418" i="34"/>
  <c r="H362" i="34"/>
  <c r="G362" i="34"/>
  <c r="H209" i="34"/>
  <c r="G209" i="34"/>
  <c r="H270" i="34"/>
  <c r="G270" i="34"/>
  <c r="H269" i="34"/>
  <c r="G269" i="34"/>
  <c r="H361" i="34"/>
  <c r="G361" i="34"/>
  <c r="H268" i="34"/>
  <c r="G268" i="34"/>
  <c r="H267" i="34"/>
  <c r="G267" i="34"/>
  <c r="H266" i="34"/>
  <c r="G266" i="34"/>
  <c r="H360" i="34"/>
  <c r="G360" i="34"/>
  <c r="H323" i="34"/>
  <c r="G323" i="34"/>
  <c r="H265" i="34"/>
  <c r="G265" i="34"/>
  <c r="H434" i="34"/>
  <c r="G434" i="34"/>
  <c r="H433" i="34"/>
  <c r="G433" i="34"/>
  <c r="H459" i="34"/>
  <c r="G459" i="34"/>
  <c r="H473" i="34"/>
  <c r="G473" i="34"/>
  <c r="H456" i="34"/>
  <c r="G456" i="34"/>
  <c r="H485" i="34"/>
  <c r="G485" i="34"/>
  <c r="H475" i="34"/>
  <c r="G475" i="34"/>
  <c r="H156" i="34"/>
  <c r="G156" i="34"/>
  <c r="H115" i="34"/>
  <c r="G115" i="34"/>
  <c r="H207" i="34"/>
  <c r="G207" i="34"/>
  <c r="H264" i="34"/>
  <c r="G264" i="34"/>
  <c r="H206" i="34"/>
  <c r="G206" i="34"/>
  <c r="H359" i="34"/>
  <c r="G359" i="34"/>
  <c r="H158" i="34"/>
  <c r="G158" i="34"/>
  <c r="H101" i="34"/>
  <c r="G101" i="34"/>
  <c r="H443" i="34"/>
  <c r="G443" i="34"/>
  <c r="H448" i="34"/>
  <c r="G448" i="34"/>
  <c r="H188" i="34"/>
  <c r="G188" i="34"/>
  <c r="H226" i="34"/>
  <c r="G226" i="34"/>
  <c r="H455" i="34"/>
  <c r="G455" i="34"/>
  <c r="H478" i="34"/>
  <c r="G478" i="34"/>
  <c r="H469" i="34"/>
  <c r="G469" i="34"/>
  <c r="H466" i="34"/>
  <c r="G466" i="34"/>
  <c r="H454" i="34"/>
  <c r="G454" i="34"/>
  <c r="H249" i="34"/>
  <c r="G249" i="34"/>
  <c r="H300" i="34"/>
  <c r="G300" i="34"/>
  <c r="H340" i="34"/>
  <c r="G340" i="34"/>
  <c r="H357" i="34"/>
  <c r="G357" i="34"/>
  <c r="H322" i="34"/>
  <c r="G322" i="34"/>
  <c r="H263" i="34"/>
  <c r="G263" i="34"/>
  <c r="H203" i="34"/>
  <c r="G203" i="34"/>
  <c r="H217" i="34"/>
  <c r="G217" i="34"/>
  <c r="H244" i="34"/>
  <c r="G244" i="34"/>
  <c r="H346" i="34"/>
  <c r="G346" i="34"/>
  <c r="H365" i="34"/>
  <c r="G365" i="34"/>
  <c r="H321" i="34"/>
  <c r="G321" i="34"/>
  <c r="H381" i="34"/>
  <c r="G381" i="34"/>
  <c r="H262" i="34"/>
  <c r="G262" i="34"/>
  <c r="H202" i="34"/>
  <c r="G202" i="34"/>
  <c r="H201" i="34"/>
  <c r="G201" i="34"/>
  <c r="H338" i="34"/>
  <c r="G338" i="34"/>
  <c r="H235" i="34"/>
  <c r="G235" i="34"/>
  <c r="H356" i="34"/>
  <c r="G356" i="34"/>
  <c r="H457" i="34"/>
  <c r="G457" i="34"/>
  <c r="H465" i="34"/>
  <c r="G465" i="34"/>
  <c r="H225" i="34"/>
  <c r="G225" i="34"/>
  <c r="H380" i="34"/>
  <c r="G380" i="34"/>
  <c r="H261" i="34"/>
  <c r="G261" i="34"/>
  <c r="H355" i="34"/>
  <c r="G355" i="34"/>
  <c r="H157" i="34"/>
  <c r="G157" i="34"/>
  <c r="H452" i="34"/>
  <c r="G452" i="34"/>
  <c r="H200" i="34"/>
  <c r="G200" i="34"/>
  <c r="H260" i="34"/>
  <c r="G260" i="34"/>
  <c r="H379" i="34"/>
  <c r="G379" i="34"/>
  <c r="H442" i="34"/>
  <c r="G442" i="34"/>
  <c r="H441" i="34"/>
  <c r="G441" i="34"/>
  <c r="H407" i="34"/>
  <c r="G407" i="34"/>
  <c r="H248" i="34"/>
  <c r="G248" i="34"/>
  <c r="H259" i="34"/>
  <c r="G259" i="34"/>
  <c r="H199" i="34"/>
  <c r="G199" i="34"/>
  <c r="H155" i="34"/>
  <c r="G155" i="34"/>
  <c r="H345" i="34"/>
  <c r="G345" i="34"/>
  <c r="H378" i="34"/>
  <c r="G378" i="34"/>
  <c r="H440" i="34"/>
  <c r="G440" i="34"/>
  <c r="H223" i="34"/>
  <c r="G223" i="34"/>
  <c r="H247" i="34"/>
  <c r="G247" i="34"/>
  <c r="H240" i="34"/>
  <c r="G240" i="34"/>
  <c r="H371" i="34"/>
  <c r="G371" i="34"/>
  <c r="H335" i="34"/>
  <c r="G335" i="34"/>
  <c r="H243" i="34"/>
  <c r="G243" i="34"/>
  <c r="H354" i="34"/>
  <c r="G354" i="34"/>
  <c r="H55" i="34"/>
  <c r="G55" i="34"/>
  <c r="H492" i="34" s="1"/>
  <c r="H109" i="34"/>
  <c r="G109" i="34"/>
  <c r="H320" i="34"/>
  <c r="G320" i="34"/>
  <c r="H246" i="34"/>
  <c r="G246" i="34"/>
  <c r="H353" i="34"/>
  <c r="G353" i="34"/>
  <c r="H439" i="34"/>
  <c r="G439" i="34"/>
  <c r="H319" i="34"/>
  <c r="G319" i="34"/>
  <c r="H318" i="34"/>
  <c r="G318" i="34"/>
  <c r="H317" i="34"/>
  <c r="G317" i="34"/>
  <c r="H316" i="34"/>
  <c r="G316" i="34"/>
  <c r="H258" i="34"/>
  <c r="G258" i="34"/>
  <c r="H444" i="34"/>
  <c r="G444" i="34"/>
  <c r="H438" i="34"/>
  <c r="G438" i="34"/>
  <c r="H477" i="34"/>
  <c r="G477" i="34"/>
  <c r="H474" i="34"/>
  <c r="G474" i="34"/>
  <c r="H484" i="34"/>
  <c r="G484" i="34"/>
  <c r="H480" i="34"/>
  <c r="G480" i="34"/>
  <c r="H479" i="34"/>
  <c r="G479" i="34"/>
  <c r="H482" i="34"/>
  <c r="G482" i="34"/>
  <c r="H476" i="34"/>
  <c r="G476" i="34"/>
  <c r="H464" i="34"/>
  <c r="G464" i="34"/>
  <c r="H463" i="34"/>
  <c r="G463" i="34"/>
  <c r="H458" i="34"/>
  <c r="G458" i="34"/>
  <c r="H462" i="34"/>
  <c r="G462" i="34"/>
  <c r="H487" i="34"/>
  <c r="G487" i="34"/>
  <c r="H121" i="34"/>
  <c r="G121" i="34"/>
  <c r="H310" i="34"/>
  <c r="G310" i="34"/>
  <c r="H349" i="34"/>
  <c r="G349" i="34"/>
  <c r="H314" i="34"/>
  <c r="G314" i="34"/>
  <c r="H197" i="34"/>
  <c r="G197" i="34"/>
  <c r="H370" i="34"/>
  <c r="G370" i="34"/>
  <c r="H254" i="34"/>
  <c r="G254" i="34"/>
  <c r="H333" i="34"/>
  <c r="G333" i="34"/>
  <c r="H196" i="34"/>
  <c r="G196" i="34"/>
  <c r="H277" i="34"/>
  <c r="G277" i="34"/>
  <c r="H245" i="34"/>
  <c r="G245" i="34"/>
  <c r="H165" i="34"/>
  <c r="G165" i="34"/>
  <c r="H432" i="34"/>
  <c r="G432" i="34"/>
  <c r="H351" i="34"/>
  <c r="G351" i="34"/>
  <c r="H233" i="34"/>
  <c r="G233" i="34"/>
  <c r="H220" i="34"/>
  <c r="G220" i="34"/>
  <c r="H219" i="34"/>
  <c r="G219" i="34"/>
  <c r="H313" i="34"/>
  <c r="G313" i="34"/>
  <c r="H195" i="34"/>
  <c r="G195" i="34"/>
  <c r="H431" i="34"/>
  <c r="G431" i="34"/>
  <c r="H149" i="34"/>
  <c r="G149" i="34"/>
  <c r="H430" i="34"/>
  <c r="G430" i="34"/>
  <c r="H232" i="34"/>
  <c r="G232" i="34"/>
  <c r="G375" i="34"/>
  <c r="D14" i="33"/>
  <c r="C14" i="33"/>
  <c r="G489" i="34" l="1"/>
  <c r="H500" i="34"/>
  <c r="G500" i="34"/>
  <c r="H489" i="34"/>
  <c r="Q493" i="32" l="1"/>
  <c r="P493" i="32"/>
  <c r="I373" i="32"/>
  <c r="J373" i="32" s="1"/>
  <c r="H136" i="32"/>
  <c r="I136" i="32" s="1"/>
  <c r="J136" i="32" s="1"/>
  <c r="I425" i="32"/>
  <c r="J425" i="32"/>
  <c r="I25" i="32"/>
  <c r="J25" i="32"/>
  <c r="I473" i="32"/>
  <c r="J473" i="32"/>
  <c r="G326" i="32"/>
  <c r="F326" i="32"/>
  <c r="I44" i="32"/>
  <c r="J44" i="32"/>
  <c r="G247" i="32"/>
  <c r="F247" i="32"/>
  <c r="I154" i="32"/>
  <c r="J154" i="32"/>
  <c r="I355" i="32"/>
  <c r="J355" i="32"/>
  <c r="I6" i="32"/>
  <c r="J6" i="32"/>
  <c r="G297" i="32"/>
  <c r="F297" i="32"/>
  <c r="I238" i="32"/>
  <c r="J238" i="32"/>
  <c r="G148" i="32"/>
  <c r="F148" i="32"/>
  <c r="I251" i="32"/>
  <c r="J251" i="32"/>
  <c r="G52" i="32"/>
  <c r="F52" i="32"/>
  <c r="I233" i="32"/>
  <c r="J233" i="32"/>
  <c r="I448" i="32"/>
  <c r="J448" i="32"/>
  <c r="I359" i="32"/>
  <c r="J359" i="32"/>
  <c r="H19" i="32"/>
  <c r="I19" i="32"/>
  <c r="J19" i="32" s="1"/>
  <c r="F19" i="32"/>
  <c r="I271" i="32"/>
  <c r="J271" i="32"/>
  <c r="I459" i="32"/>
  <c r="J459" i="32"/>
  <c r="I312" i="32"/>
  <c r="J312" i="32"/>
  <c r="G10" i="32"/>
  <c r="F10" i="32"/>
  <c r="I402" i="32"/>
  <c r="J402" i="32"/>
  <c r="I346" i="32"/>
  <c r="J346" i="32"/>
  <c r="I45" i="32"/>
  <c r="J45" i="32"/>
  <c r="I82" i="32"/>
  <c r="J82" i="32"/>
  <c r="I368" i="32"/>
  <c r="J368" i="32"/>
  <c r="I151" i="32"/>
  <c r="J151" i="32"/>
  <c r="H469" i="32"/>
  <c r="I469" i="32"/>
  <c r="J469" i="32" s="1"/>
  <c r="H16" i="32"/>
  <c r="I16" i="32" s="1"/>
  <c r="J16" i="32" s="1"/>
  <c r="H357" i="32"/>
  <c r="I357" i="32"/>
  <c r="J357" i="32" s="1"/>
  <c r="F357" i="32"/>
  <c r="I265" i="32"/>
  <c r="J265" i="32"/>
  <c r="I119" i="32"/>
  <c r="J119" i="32"/>
  <c r="I86" i="32"/>
  <c r="J86" i="32"/>
  <c r="I103" i="32"/>
  <c r="J103" i="32"/>
  <c r="I80" i="32"/>
  <c r="J80" i="32"/>
  <c r="I13" i="32"/>
  <c r="J13" i="32"/>
  <c r="I260" i="32"/>
  <c r="J260" i="32"/>
  <c r="I186" i="32"/>
  <c r="J186" i="32"/>
  <c r="H445" i="32"/>
  <c r="I445" i="32"/>
  <c r="J445" i="32" s="1"/>
  <c r="I78" i="32"/>
  <c r="J78" i="32" s="1"/>
  <c r="I461" i="32"/>
  <c r="J461" i="32" s="1"/>
  <c r="I49" i="32"/>
  <c r="J49" i="32" s="1"/>
  <c r="I18" i="32"/>
  <c r="J18" i="32" s="1"/>
  <c r="H18" i="32"/>
  <c r="F18" i="32"/>
  <c r="I204" i="32"/>
  <c r="J204" i="32" s="1"/>
  <c r="I112" i="32"/>
  <c r="G112" i="32"/>
  <c r="F112" i="32"/>
  <c r="I170" i="32"/>
  <c r="J170" i="32"/>
  <c r="I217" i="32"/>
  <c r="J217" i="32"/>
  <c r="I158" i="32"/>
  <c r="J158" i="32"/>
  <c r="I419" i="32"/>
  <c r="J419" i="32"/>
  <c r="I64" i="32"/>
  <c r="J64" i="32"/>
  <c r="H256" i="32"/>
  <c r="I256" i="32"/>
  <c r="J256" i="32" s="1"/>
  <c r="J96" i="32"/>
  <c r="I96" i="32"/>
  <c r="I159" i="32"/>
  <c r="J159" i="32" s="1"/>
  <c r="J466" i="32"/>
  <c r="I466" i="32"/>
  <c r="I191" i="32"/>
  <c r="J191" i="32" s="1"/>
  <c r="J218" i="32"/>
  <c r="I218" i="32"/>
  <c r="H115" i="32"/>
  <c r="I115" i="32" s="1"/>
  <c r="J115" i="32" s="1"/>
  <c r="H308" i="32"/>
  <c r="I308" i="32"/>
  <c r="J308" i="32" s="1"/>
  <c r="F308" i="32"/>
  <c r="I484" i="32"/>
  <c r="J484" i="32"/>
  <c r="F484" i="32"/>
  <c r="I85" i="32"/>
  <c r="J85" i="32" s="1"/>
  <c r="J358" i="32"/>
  <c r="I358" i="32"/>
  <c r="G166" i="32"/>
  <c r="I166" i="32" s="1"/>
  <c r="J166" i="32" s="1"/>
  <c r="F166" i="32"/>
  <c r="I332" i="32"/>
  <c r="J332" i="32" s="1"/>
  <c r="I464" i="32"/>
  <c r="J464" i="32" s="1"/>
  <c r="I102" i="32"/>
  <c r="J102" i="32" s="1"/>
  <c r="I378" i="32"/>
  <c r="J378" i="32" s="1"/>
  <c r="I325" i="32"/>
  <c r="J325" i="32" s="1"/>
  <c r="G454" i="32"/>
  <c r="F454" i="32"/>
  <c r="I150" i="32"/>
  <c r="J150" i="32" s="1"/>
  <c r="I71" i="32"/>
  <c r="J71" i="32" s="1"/>
  <c r="G39" i="32"/>
  <c r="F39" i="32"/>
  <c r="G348" i="32"/>
  <c r="F348" i="32"/>
  <c r="G41" i="32"/>
  <c r="F41" i="32"/>
  <c r="I84" i="32"/>
  <c r="J84" i="32" s="1"/>
  <c r="I79" i="32"/>
  <c r="J79" i="32" s="1"/>
  <c r="H174" i="32"/>
  <c r="I174" i="32" s="1"/>
  <c r="J174" i="32" s="1"/>
  <c r="G127" i="32"/>
  <c r="I127" i="32"/>
  <c r="F127" i="32"/>
  <c r="I110" i="32"/>
  <c r="J110" i="32" s="1"/>
  <c r="I483" i="32"/>
  <c r="J483" i="32" s="1"/>
  <c r="G74" i="32"/>
  <c r="I74" i="32" s="1"/>
  <c r="J74" i="32"/>
  <c r="F74" i="32"/>
  <c r="I339" i="32"/>
  <c r="J339" i="32" s="1"/>
  <c r="I36" i="32"/>
  <c r="J36" i="32" s="1"/>
  <c r="H381" i="32"/>
  <c r="I381" i="32" s="1"/>
  <c r="J381" i="32" s="1"/>
  <c r="H134" i="32"/>
  <c r="I134" i="32"/>
  <c r="J134" i="32" s="1"/>
  <c r="I232" i="32"/>
  <c r="J232" i="32" s="1"/>
  <c r="I181" i="32"/>
  <c r="J181" i="32" s="1"/>
  <c r="I149" i="32"/>
  <c r="J149" i="32" s="1"/>
  <c r="G324" i="32"/>
  <c r="F324" i="32"/>
  <c r="I58" i="32"/>
  <c r="J58" i="32" s="1"/>
  <c r="I439" i="32"/>
  <c r="J439" i="32" s="1"/>
  <c r="I56" i="32"/>
  <c r="J56" i="32" s="1"/>
  <c r="I411" i="32"/>
  <c r="J411" i="32" s="1"/>
  <c r="I408" i="32"/>
  <c r="J408" i="32" s="1"/>
  <c r="G323" i="32"/>
  <c r="I323" i="32" s="1"/>
  <c r="F323" i="32"/>
  <c r="I356" i="32"/>
  <c r="J356" i="32"/>
  <c r="H486" i="32"/>
  <c r="I486" i="32"/>
  <c r="G486" i="32"/>
  <c r="J486" i="32"/>
  <c r="F486" i="32"/>
  <c r="H417" i="32"/>
  <c r="I417" i="32" s="1"/>
  <c r="J417" i="32" s="1"/>
  <c r="I382" i="32"/>
  <c r="J382" i="32"/>
  <c r="I410" i="32"/>
  <c r="J410" i="32"/>
  <c r="G322" i="32"/>
  <c r="J322" i="32" s="1"/>
  <c r="I322" i="32"/>
  <c r="F322" i="32"/>
  <c r="H404" i="32"/>
  <c r="I404" i="32"/>
  <c r="J404" i="32" s="1"/>
  <c r="F404" i="32"/>
  <c r="G61" i="32"/>
  <c r="J61" i="32" s="1"/>
  <c r="I61" i="32"/>
  <c r="F61" i="32"/>
  <c r="I132" i="32"/>
  <c r="J132" i="32"/>
  <c r="I305" i="32"/>
  <c r="J305" i="32"/>
  <c r="G121" i="32"/>
  <c r="I121" i="32"/>
  <c r="F121" i="32"/>
  <c r="I313" i="32"/>
  <c r="J313" i="32" s="1"/>
  <c r="I414" i="32"/>
  <c r="J414" i="32" s="1"/>
  <c r="J30" i="32"/>
  <c r="I30" i="32"/>
  <c r="F30" i="32"/>
  <c r="G321" i="32"/>
  <c r="I321" i="32"/>
  <c r="J321" i="32" s="1"/>
  <c r="F321" i="32"/>
  <c r="I161" i="32"/>
  <c r="J161" i="32"/>
  <c r="G343" i="32"/>
  <c r="F343" i="32"/>
  <c r="G67" i="32"/>
  <c r="F67" i="32"/>
  <c r="I298" i="32"/>
  <c r="J298" i="32"/>
  <c r="G138" i="32"/>
  <c r="I138" i="32"/>
  <c r="J138" i="32" s="1"/>
  <c r="F138" i="32"/>
  <c r="G117" i="32"/>
  <c r="I117" i="32"/>
  <c r="J117" i="32" s="1"/>
  <c r="F117" i="32"/>
  <c r="G283" i="32"/>
  <c r="I283" i="32"/>
  <c r="J283" i="32" s="1"/>
  <c r="F283" i="32"/>
  <c r="I140" i="32"/>
  <c r="J140" i="32"/>
  <c r="G5" i="32"/>
  <c r="F5" i="32"/>
  <c r="I219" i="32"/>
  <c r="J219" i="32"/>
  <c r="I126" i="32"/>
  <c r="J126" i="32"/>
  <c r="G126" i="32"/>
  <c r="F126" i="32"/>
  <c r="I182" i="32"/>
  <c r="J182" i="32"/>
  <c r="G171" i="32"/>
  <c r="F171" i="32"/>
  <c r="I400" i="32"/>
  <c r="J400" i="32"/>
  <c r="I34" i="32"/>
  <c r="J34" i="32"/>
  <c r="I100" i="32"/>
  <c r="J100" i="32"/>
  <c r="G320" i="32"/>
  <c r="I320" i="32"/>
  <c r="J320" i="32" s="1"/>
  <c r="F320" i="32"/>
  <c r="G319" i="32"/>
  <c r="I319" i="32"/>
  <c r="J319" i="32" s="1"/>
  <c r="F319" i="32"/>
  <c r="I15" i="32"/>
  <c r="J15" i="32"/>
  <c r="I276" i="32"/>
  <c r="J276" i="32"/>
  <c r="I207" i="32"/>
  <c r="J207" i="32"/>
  <c r="G426" i="32"/>
  <c r="F426" i="32"/>
  <c r="H8" i="32"/>
  <c r="G8" i="32"/>
  <c r="F8" i="32"/>
  <c r="G200" i="32"/>
  <c r="I200" i="32" s="1"/>
  <c r="F200" i="32"/>
  <c r="H422" i="32"/>
  <c r="I422" i="32"/>
  <c r="J422" i="32" s="1"/>
  <c r="F422" i="32"/>
  <c r="I391" i="32"/>
  <c r="J391" i="32"/>
  <c r="G199" i="32"/>
  <c r="I199" i="32"/>
  <c r="F199" i="32"/>
  <c r="G9" i="32"/>
  <c r="I9" i="32" s="1"/>
  <c r="F9" i="32"/>
  <c r="G257" i="32"/>
  <c r="I257" i="32"/>
  <c r="F257" i="32"/>
  <c r="G47" i="32"/>
  <c r="F47" i="32"/>
  <c r="G90" i="32"/>
  <c r="I90" i="32" s="1"/>
  <c r="F90" i="32"/>
  <c r="I401" i="32"/>
  <c r="J401" i="32"/>
  <c r="I386" i="32"/>
  <c r="J386" i="32"/>
  <c r="H197" i="32"/>
  <c r="I197" i="32"/>
  <c r="J197" i="32" s="1"/>
  <c r="H446" i="32"/>
  <c r="I446" i="32" s="1"/>
  <c r="J446" i="32"/>
  <c r="G460" i="32"/>
  <c r="I460" i="32"/>
  <c r="F460" i="32"/>
  <c r="H89" i="32"/>
  <c r="I89" i="32" s="1"/>
  <c r="J89" i="32" s="1"/>
  <c r="F89" i="32"/>
  <c r="I292" i="32"/>
  <c r="J292" i="32" s="1"/>
  <c r="I101" i="32"/>
  <c r="J101" i="32" s="1"/>
  <c r="H468" i="32"/>
  <c r="I468" i="32" s="1"/>
  <c r="J468" i="32" s="1"/>
  <c r="F468" i="32"/>
  <c r="I476" i="32"/>
  <c r="J476" i="32" s="1"/>
  <c r="I478" i="32"/>
  <c r="J478" i="32" s="1"/>
  <c r="G163" i="32"/>
  <c r="F163" i="32"/>
  <c r="G314" i="32"/>
  <c r="F314" i="32"/>
  <c r="I24" i="32"/>
  <c r="J24" i="32" s="1"/>
  <c r="H388" i="32"/>
  <c r="I388" i="32" s="1"/>
  <c r="J388" i="32" s="1"/>
  <c r="I363" i="32"/>
  <c r="J363" i="32"/>
  <c r="H363" i="32"/>
  <c r="F363" i="32"/>
  <c r="I81" i="32"/>
  <c r="J81" i="32"/>
  <c r="I184" i="32"/>
  <c r="J184" i="32"/>
  <c r="I152" i="32"/>
  <c r="J152" i="32"/>
  <c r="I35" i="32"/>
  <c r="J35" i="32"/>
  <c r="I246" i="32"/>
  <c r="J246" i="32"/>
  <c r="I366" i="32"/>
  <c r="J366" i="32" s="1"/>
  <c r="G387" i="32"/>
  <c r="I387" i="32"/>
  <c r="F387" i="32"/>
  <c r="I114" i="32"/>
  <c r="J114" i="32" s="1"/>
  <c r="I65" i="32"/>
  <c r="J65" i="32" s="1"/>
  <c r="I413" i="32"/>
  <c r="J413" i="32" s="1"/>
  <c r="H267" i="32"/>
  <c r="I267" i="32" s="1"/>
  <c r="J267" i="32"/>
  <c r="I235" i="32"/>
  <c r="J235" i="32"/>
  <c r="I290" i="32"/>
  <c r="J290" i="32"/>
  <c r="I342" i="32"/>
  <c r="J342" i="32"/>
  <c r="I205" i="32"/>
  <c r="J205" i="32"/>
  <c r="I412" i="32"/>
  <c r="J412" i="32"/>
  <c r="G412" i="32"/>
  <c r="F412" i="32"/>
  <c r="I146" i="32"/>
  <c r="J146" i="32"/>
  <c r="I243" i="32"/>
  <c r="J243" i="32"/>
  <c r="I208" i="32"/>
  <c r="J208" i="32"/>
  <c r="G259" i="32"/>
  <c r="F259" i="32"/>
  <c r="I310" i="32"/>
  <c r="J310" i="32"/>
  <c r="H242" i="32"/>
  <c r="I242" i="32"/>
  <c r="J242" i="32" s="1"/>
  <c r="G395" i="32"/>
  <c r="I395" i="32" s="1"/>
  <c r="J395" i="32" s="1"/>
  <c r="F395" i="32"/>
  <c r="I318" i="32"/>
  <c r="J318" i="32" s="1"/>
  <c r="I156" i="32"/>
  <c r="J156" i="32" s="1"/>
  <c r="G286" i="32"/>
  <c r="I286" i="32" s="1"/>
  <c r="F286" i="32"/>
  <c r="H173" i="32"/>
  <c r="I173" i="32"/>
  <c r="J173" i="32" s="1"/>
  <c r="I353" i="32"/>
  <c r="J353" i="32" s="1"/>
  <c r="I438" i="32"/>
  <c r="J438" i="32" s="1"/>
  <c r="I169" i="32"/>
  <c r="J169" i="32" s="1"/>
  <c r="I145" i="32"/>
  <c r="J145" i="32" s="1"/>
  <c r="I95" i="32"/>
  <c r="J95" i="32" s="1"/>
  <c r="I365" i="32"/>
  <c r="J365" i="32" s="1"/>
  <c r="G432" i="32"/>
  <c r="F432" i="32"/>
  <c r="G116" i="32"/>
  <c r="I116" i="32" s="1"/>
  <c r="F116" i="32"/>
  <c r="H249" i="32"/>
  <c r="I249" i="32"/>
  <c r="J249" i="32" s="1"/>
  <c r="I317" i="32"/>
  <c r="J317" i="32" s="1"/>
  <c r="I268" i="32"/>
  <c r="J268" i="32" s="1"/>
  <c r="G307" i="32"/>
  <c r="F307" i="32"/>
  <c r="I379" i="32"/>
  <c r="J379" i="32" s="1"/>
  <c r="G396" i="32"/>
  <c r="F396" i="32"/>
  <c r="H255" i="32"/>
  <c r="I255" i="32" s="1"/>
  <c r="J255" i="32" s="1"/>
  <c r="I68" i="32"/>
  <c r="J68" i="32"/>
  <c r="I377" i="32"/>
  <c r="J377" i="32"/>
  <c r="I376" i="32"/>
  <c r="J376" i="32"/>
  <c r="G228" i="32"/>
  <c r="I228" i="32"/>
  <c r="F228" i="32"/>
  <c r="G406" i="32"/>
  <c r="I406" i="32" s="1"/>
  <c r="J406" i="32" s="1"/>
  <c r="F406" i="32"/>
  <c r="G485" i="32"/>
  <c r="I485" i="32" s="1"/>
  <c r="J485" i="32"/>
  <c r="F485" i="32"/>
  <c r="G479" i="32"/>
  <c r="I479" i="32" s="1"/>
  <c r="F479" i="32"/>
  <c r="I405" i="32"/>
  <c r="J405" i="32"/>
  <c r="G338" i="32"/>
  <c r="F338" i="32"/>
  <c r="G225" i="32"/>
  <c r="F225" i="32"/>
  <c r="G222" i="32"/>
  <c r="I222" i="32"/>
  <c r="F222" i="32"/>
  <c r="G282" i="32"/>
  <c r="I282" i="32" s="1"/>
  <c r="F282" i="32"/>
  <c r="G421" i="32"/>
  <c r="F421" i="32"/>
  <c r="G180" i="32"/>
  <c r="F180" i="32"/>
  <c r="G183" i="32"/>
  <c r="I183" i="32"/>
  <c r="F183" i="32"/>
  <c r="G360" i="32"/>
  <c r="I360" i="32" s="1"/>
  <c r="F360" i="32"/>
  <c r="G124" i="32"/>
  <c r="F124" i="32"/>
  <c r="G26" i="32"/>
  <c r="F26" i="32"/>
  <c r="G328" i="32"/>
  <c r="I328" i="32"/>
  <c r="F328" i="32"/>
  <c r="G83" i="32"/>
  <c r="I83" i="32" s="1"/>
  <c r="F83" i="32"/>
  <c r="G393" i="32"/>
  <c r="F393" i="32"/>
  <c r="G407" i="32"/>
  <c r="F407" i="32"/>
  <c r="G93" i="32"/>
  <c r="I93" i="32"/>
  <c r="F93" i="32"/>
  <c r="G62" i="32"/>
  <c r="I62" i="32" s="1"/>
  <c r="F62" i="32"/>
  <c r="G300" i="32"/>
  <c r="F300" i="32"/>
  <c r="G431" i="32"/>
  <c r="F431" i="32"/>
  <c r="I435" i="32"/>
  <c r="J435" i="32"/>
  <c r="I167" i="32"/>
  <c r="J167" i="32"/>
  <c r="I329" i="32"/>
  <c r="J329" i="32"/>
  <c r="G262" i="32"/>
  <c r="I262" i="32"/>
  <c r="F262" i="32"/>
  <c r="I444" i="32"/>
  <c r="J444" i="32" s="1"/>
  <c r="I306" i="32"/>
  <c r="J306" i="32" s="1"/>
  <c r="G449" i="32"/>
  <c r="I449" i="32" s="1"/>
  <c r="F449" i="32"/>
  <c r="G212" i="32"/>
  <c r="I212" i="32"/>
  <c r="J212" i="32" s="1"/>
  <c r="F212" i="32"/>
  <c r="G202" i="32"/>
  <c r="I202" i="32"/>
  <c r="F202" i="32"/>
  <c r="H416" i="32"/>
  <c r="I416" i="32" s="1"/>
  <c r="J416" i="32" s="1"/>
  <c r="H370" i="32"/>
  <c r="I370" i="32"/>
  <c r="J370" i="32" s="1"/>
  <c r="I274" i="32"/>
  <c r="J274" i="32" s="1"/>
  <c r="I434" i="32"/>
  <c r="J434" i="32" s="1"/>
  <c r="G375" i="32"/>
  <c r="F375" i="32"/>
  <c r="I224" i="32"/>
  <c r="G224" i="32"/>
  <c r="J224" i="32"/>
  <c r="F224" i="32"/>
  <c r="I108" i="32"/>
  <c r="J108" i="32" s="1"/>
  <c r="G430" i="32"/>
  <c r="I430" i="32" s="1"/>
  <c r="F430" i="32"/>
  <c r="G179" i="32"/>
  <c r="I179" i="32"/>
  <c r="F179" i="32"/>
  <c r="G440" i="32"/>
  <c r="I440" i="32" s="1"/>
  <c r="J440" i="32"/>
  <c r="F440" i="32"/>
  <c r="I17" i="32"/>
  <c r="J17" i="32" s="1"/>
  <c r="G450" i="32"/>
  <c r="F450" i="32"/>
  <c r="I144" i="32"/>
  <c r="J144" i="32" s="1"/>
  <c r="I196" i="32"/>
  <c r="J196" i="32" s="1"/>
  <c r="I362" i="32"/>
  <c r="J362" i="32" s="1"/>
  <c r="I198" i="32"/>
  <c r="J198" i="32" s="1"/>
  <c r="I220" i="32"/>
  <c r="J220" i="32" s="1"/>
  <c r="I470" i="32"/>
  <c r="J470" i="32" s="1"/>
  <c r="I245" i="32"/>
  <c r="J245" i="32" s="1"/>
  <c r="I237" i="32"/>
  <c r="J237" i="32" s="1"/>
  <c r="I340" i="32"/>
  <c r="J340" i="32" s="1"/>
  <c r="I165" i="32"/>
  <c r="J165" i="32" s="1"/>
  <c r="I457" i="32"/>
  <c r="J457" i="32" s="1"/>
  <c r="I3" i="32"/>
  <c r="J3" i="32" s="1"/>
  <c r="I195" i="32"/>
  <c r="J195" i="32" s="1"/>
  <c r="I172" i="32"/>
  <c r="J172" i="32" s="1"/>
  <c r="I42" i="32"/>
  <c r="J42" i="32" s="1"/>
  <c r="I113" i="32"/>
  <c r="J113" i="32" s="1"/>
  <c r="H385" i="32"/>
  <c r="I385" i="32" s="1"/>
  <c r="J385" i="32" s="1"/>
  <c r="I215" i="32"/>
  <c r="J215" i="32"/>
  <c r="G269" i="32"/>
  <c r="I269" i="32"/>
  <c r="J269" i="32" s="1"/>
  <c r="F269" i="32"/>
  <c r="G458" i="32"/>
  <c r="I458" i="32"/>
  <c r="J458" i="32" s="1"/>
  <c r="F458" i="32"/>
  <c r="G336" i="32"/>
  <c r="I336" i="32"/>
  <c r="J336" i="32" s="1"/>
  <c r="F336" i="32"/>
  <c r="G213" i="32"/>
  <c r="I213" i="32"/>
  <c r="J213" i="32" s="1"/>
  <c r="F213" i="32"/>
  <c r="G216" i="32"/>
  <c r="I216" i="32"/>
  <c r="J216" i="32" s="1"/>
  <c r="F216" i="32"/>
  <c r="I143" i="32"/>
  <c r="J143" i="32"/>
  <c r="I258" i="32"/>
  <c r="J258" i="32"/>
  <c r="I60" i="32"/>
  <c r="J60" i="32"/>
  <c r="G2" i="32"/>
  <c r="F2" i="32"/>
  <c r="I160" i="32"/>
  <c r="J160" i="32"/>
  <c r="I463" i="32"/>
  <c r="J463" i="32"/>
  <c r="G451" i="32"/>
  <c r="F451" i="32"/>
  <c r="I164" i="32"/>
  <c r="J164" i="32"/>
  <c r="G294" i="32"/>
  <c r="J294" i="32"/>
  <c r="I294" i="32"/>
  <c r="F294" i="32"/>
  <c r="I418" i="32"/>
  <c r="J418" i="32"/>
  <c r="I63" i="32"/>
  <c r="J63" i="32"/>
  <c r="I311" i="32"/>
  <c r="J311" i="32"/>
  <c r="I433" i="32"/>
  <c r="J433" i="32"/>
  <c r="I139" i="32"/>
  <c r="J139" i="32"/>
  <c r="I194" i="32"/>
  <c r="J194" i="32"/>
  <c r="I428" i="32"/>
  <c r="J428" i="32"/>
  <c r="I226" i="32"/>
  <c r="J226" i="32"/>
  <c r="I231" i="32"/>
  <c r="J231" i="32"/>
  <c r="I465" i="32"/>
  <c r="J465" i="32"/>
  <c r="I135" i="32"/>
  <c r="J135" i="32"/>
  <c r="I94" i="32"/>
  <c r="J94" i="32"/>
  <c r="I59" i="32"/>
  <c r="J59" i="32"/>
  <c r="I266" i="32"/>
  <c r="J266" i="32"/>
  <c r="I190" i="32"/>
  <c r="J190" i="32"/>
  <c r="G43" i="32"/>
  <c r="F43" i="32"/>
  <c r="H4" i="32"/>
  <c r="I4" i="32"/>
  <c r="J4" i="32" s="1"/>
  <c r="G472" i="32"/>
  <c r="I472" i="32" s="1"/>
  <c r="F472" i="32"/>
  <c r="G263" i="32"/>
  <c r="I263" i="32"/>
  <c r="F263" i="32"/>
  <c r="G66" i="32"/>
  <c r="I66" i="32" s="1"/>
  <c r="F66" i="32"/>
  <c r="I253" i="32"/>
  <c r="J253" i="32"/>
  <c r="I252" i="32"/>
  <c r="J252" i="32"/>
  <c r="G147" i="32"/>
  <c r="I147" i="32"/>
  <c r="F147" i="32"/>
  <c r="G105" i="32"/>
  <c r="I105" i="32" s="1"/>
  <c r="F105" i="32"/>
  <c r="I337" i="32"/>
  <c r="J337" i="32"/>
  <c r="G380" i="32"/>
  <c r="I380" i="32"/>
  <c r="J380" i="32" s="1"/>
  <c r="F380" i="32"/>
  <c r="G285" i="32"/>
  <c r="I285" i="32"/>
  <c r="F285" i="32"/>
  <c r="I341" i="32"/>
  <c r="J341" i="32" s="1"/>
  <c r="G201" i="32"/>
  <c r="I201" i="32" s="1"/>
  <c r="F201" i="32"/>
  <c r="I72" i="32"/>
  <c r="J72" i="32"/>
  <c r="I443" i="32"/>
  <c r="J443" i="32" s="1"/>
  <c r="I442" i="32"/>
  <c r="J442" i="32"/>
  <c r="G264" i="32"/>
  <c r="I264" i="32" s="1"/>
  <c r="F264" i="32"/>
  <c r="G403" i="32"/>
  <c r="F403" i="32"/>
  <c r="I130" i="32"/>
  <c r="J130" i="32"/>
  <c r="G331" i="32"/>
  <c r="F331" i="32"/>
  <c r="G29" i="32"/>
  <c r="F29" i="32"/>
  <c r="G40" i="32"/>
  <c r="F40" i="32"/>
  <c r="G367" i="32"/>
  <c r="F367" i="32"/>
  <c r="G120" i="32"/>
  <c r="F120" i="32"/>
  <c r="G423" i="32"/>
  <c r="F423" i="32"/>
  <c r="G53" i="32"/>
  <c r="F53" i="32"/>
  <c r="G99" i="32"/>
  <c r="F99" i="32"/>
  <c r="G97" i="32"/>
  <c r="F97" i="32"/>
  <c r="G436" i="32"/>
  <c r="F436" i="32"/>
  <c r="I352" i="32"/>
  <c r="J352" i="32" s="1"/>
  <c r="H384" i="32"/>
  <c r="I384" i="32"/>
  <c r="J384" i="32" s="1"/>
  <c r="I424" i="32"/>
  <c r="J424" i="32" s="1"/>
  <c r="G12" i="32"/>
  <c r="I12" i="32"/>
  <c r="J12" i="32" s="1"/>
  <c r="F12" i="32"/>
  <c r="I397" i="32"/>
  <c r="J397" i="32"/>
  <c r="G361" i="32"/>
  <c r="F361" i="32"/>
  <c r="G32" i="32"/>
  <c r="F32" i="32"/>
  <c r="I153" i="32"/>
  <c r="J153" i="32" s="1"/>
  <c r="I330" i="32"/>
  <c r="J330" i="32" s="1"/>
  <c r="G27" i="32"/>
  <c r="I27" i="32" s="1"/>
  <c r="J27" i="32" s="1"/>
  <c r="F27" i="32"/>
  <c r="I477" i="32"/>
  <c r="J477" i="32" s="1"/>
  <c r="I437" i="32"/>
  <c r="J437" i="32"/>
  <c r="G420" i="32"/>
  <c r="F420" i="32"/>
  <c r="I364" i="32"/>
  <c r="J364" i="32"/>
  <c r="G69" i="32"/>
  <c r="I69" i="32" s="1"/>
  <c r="F69" i="32"/>
  <c r="G142" i="32"/>
  <c r="I142" i="32" s="1"/>
  <c r="F142" i="32"/>
  <c r="G349" i="32"/>
  <c r="I349" i="32" s="1"/>
  <c r="J349" i="32"/>
  <c r="F349" i="32"/>
  <c r="G371" i="32"/>
  <c r="I371" i="32" s="1"/>
  <c r="F371" i="32"/>
  <c r="G427" i="32"/>
  <c r="I427" i="32" s="1"/>
  <c r="F427" i="32"/>
  <c r="G345" i="32"/>
  <c r="I345" i="32"/>
  <c r="F345" i="32"/>
  <c r="G210" i="32"/>
  <c r="I210" i="32" s="1"/>
  <c r="J210" i="32"/>
  <c r="F210" i="32"/>
  <c r="G277" i="32"/>
  <c r="I277" i="32" s="1"/>
  <c r="J277" i="32" s="1"/>
  <c r="F277" i="32"/>
  <c r="G189" i="32"/>
  <c r="I189" i="32" s="1"/>
  <c r="J189" i="32" s="1"/>
  <c r="F189" i="32"/>
  <c r="G467" i="32"/>
  <c r="I467" i="32" s="1"/>
  <c r="J467" i="32" s="1"/>
  <c r="F467" i="32"/>
  <c r="G429" i="32"/>
  <c r="I429" i="32" s="1"/>
  <c r="J429" i="32" s="1"/>
  <c r="F429" i="32"/>
  <c r="G88" i="32"/>
  <c r="J88" i="32" s="1"/>
  <c r="I88" i="32"/>
  <c r="F88" i="32"/>
  <c r="G128" i="32"/>
  <c r="I128" i="32" s="1"/>
  <c r="J128" i="32" s="1"/>
  <c r="F128" i="32"/>
  <c r="H415" i="32"/>
  <c r="I415" i="32" s="1"/>
  <c r="J415" i="32" s="1"/>
  <c r="G33" i="32"/>
  <c r="I33" i="32" s="1"/>
  <c r="F33" i="32"/>
  <c r="I162" i="32"/>
  <c r="G162" i="32"/>
  <c r="F162" i="32"/>
  <c r="G70" i="32"/>
  <c r="F70" i="32"/>
  <c r="G137" i="32"/>
  <c r="I137" i="32"/>
  <c r="F137" i="32"/>
  <c r="I250" i="32"/>
  <c r="J250" i="32" s="1"/>
  <c r="G192" i="32"/>
  <c r="F192" i="32"/>
  <c r="G230" i="32"/>
  <c r="F230" i="32"/>
  <c r="G129" i="32"/>
  <c r="F129" i="32"/>
  <c r="G447" i="32"/>
  <c r="F447" i="32"/>
  <c r="I392" i="32"/>
  <c r="J392" i="32" s="1"/>
  <c r="I75" i="32"/>
  <c r="J75" i="32" s="1"/>
  <c r="G223" i="32"/>
  <c r="F223" i="32"/>
  <c r="I203" i="32"/>
  <c r="J203" i="32" s="1"/>
  <c r="I157" i="32"/>
  <c r="J157" i="32" s="1"/>
  <c r="I14" i="32"/>
  <c r="J14" i="32" s="1"/>
  <c r="G295" i="32"/>
  <c r="J295" i="32" s="1"/>
  <c r="I295" i="32"/>
  <c r="F295" i="32"/>
  <c r="G270" i="32"/>
  <c r="I270" i="32"/>
  <c r="F270" i="32"/>
  <c r="I351" i="32"/>
  <c r="J351" i="32"/>
  <c r="G209" i="32"/>
  <c r="F209" i="32"/>
  <c r="G462" i="32"/>
  <c r="F462" i="32"/>
  <c r="I248" i="32"/>
  <c r="J248" i="32" s="1"/>
  <c r="G347" i="32"/>
  <c r="I347" i="32"/>
  <c r="J347" i="32"/>
  <c r="F347" i="32"/>
  <c r="G54" i="32"/>
  <c r="I54" i="32"/>
  <c r="F54" i="32"/>
  <c r="G299" i="32"/>
  <c r="I299" i="32" s="1"/>
  <c r="F299" i="32"/>
  <c r="G456" i="32"/>
  <c r="I456" i="32" s="1"/>
  <c r="F456" i="32"/>
  <c r="G289" i="32"/>
  <c r="I289" i="32" s="1"/>
  <c r="F289" i="32"/>
  <c r="G288" i="32"/>
  <c r="I288" i="32" s="1"/>
  <c r="F288" i="32"/>
  <c r="G354" i="32"/>
  <c r="I354" i="32"/>
  <c r="F354" i="32"/>
  <c r="G109" i="32"/>
  <c r="I109" i="32"/>
  <c r="J109" i="32"/>
  <c r="F109" i="32"/>
  <c r="I254" i="32"/>
  <c r="J254" i="32"/>
  <c r="H487" i="32"/>
  <c r="I487" i="32" s="1"/>
  <c r="J487" i="32" s="1"/>
  <c r="G471" i="32"/>
  <c r="I471" i="32" s="1"/>
  <c r="J471" i="32" s="1"/>
  <c r="F471" i="32"/>
  <c r="G455" i="32"/>
  <c r="I455" i="32" s="1"/>
  <c r="J455" i="32" s="1"/>
  <c r="F455" i="32"/>
  <c r="I22" i="32"/>
  <c r="J22" i="32"/>
  <c r="I48" i="32"/>
  <c r="J48" i="32" s="1"/>
  <c r="I51" i="32"/>
  <c r="J51" i="32"/>
  <c r="I50" i="32"/>
  <c r="J50" i="32" s="1"/>
  <c r="I91" i="32"/>
  <c r="J91" i="32"/>
  <c r="I92" i="32"/>
  <c r="J92" i="32" s="1"/>
  <c r="I176" i="32"/>
  <c r="J176" i="32"/>
  <c r="I175" i="32"/>
  <c r="J175" i="32" s="1"/>
  <c r="I177" i="32"/>
  <c r="J177" i="32"/>
  <c r="I178" i="32"/>
  <c r="J178" i="32" s="1"/>
  <c r="I236" i="32"/>
  <c r="J236" i="32"/>
  <c r="I241" i="32"/>
  <c r="J241" i="32" s="1"/>
  <c r="I244" i="32"/>
  <c r="J244" i="32"/>
  <c r="I281" i="32"/>
  <c r="J281" i="32" s="1"/>
  <c r="I280" i="32"/>
  <c r="J280" i="32"/>
  <c r="I279" i="32"/>
  <c r="J279" i="32" s="1"/>
  <c r="I284" i="32"/>
  <c r="J284" i="32"/>
  <c r="I293" i="32"/>
  <c r="J293" i="32" s="1"/>
  <c r="I335" i="32"/>
  <c r="J335" i="32"/>
  <c r="I344" i="32"/>
  <c r="J344" i="32" s="1"/>
  <c r="I389" i="32"/>
  <c r="J389" i="32"/>
  <c r="I480" i="32"/>
  <c r="J480" i="32" s="1"/>
  <c r="I482" i="32"/>
  <c r="J482" i="32"/>
  <c r="I481" i="32"/>
  <c r="J481" i="32" s="1"/>
  <c r="I20" i="32"/>
  <c r="J20" i="32"/>
  <c r="I296" i="32"/>
  <c r="J296" i="32" s="1"/>
  <c r="I240" i="32"/>
  <c r="J240" i="32"/>
  <c r="H214" i="32"/>
  <c r="I214" i="32" s="1"/>
  <c r="J214" i="32" s="1"/>
  <c r="I304" i="32"/>
  <c r="J304" i="32" s="1"/>
  <c r="G38" i="32"/>
  <c r="I38" i="32"/>
  <c r="J38" i="32"/>
  <c r="F38" i="32"/>
  <c r="I398" i="32"/>
  <c r="J398" i="32"/>
  <c r="I333" i="32"/>
  <c r="J333" i="32" s="1"/>
  <c r="I273" i="32"/>
  <c r="J273" i="32"/>
  <c r="G57" i="32"/>
  <c r="I57" i="32" s="1"/>
  <c r="F57" i="32"/>
  <c r="I275" i="32"/>
  <c r="J275" i="32"/>
  <c r="G369" i="32"/>
  <c r="I369" i="32" s="1"/>
  <c r="J369" i="32" s="1"/>
  <c r="F369" i="32"/>
  <c r="G118" i="32"/>
  <c r="I118" i="32" s="1"/>
  <c r="F118" i="32"/>
  <c r="I227" i="32"/>
  <c r="J227" i="32" s="1"/>
  <c r="G261" i="32"/>
  <c r="I261" i="32"/>
  <c r="F261" i="32"/>
  <c r="I390" i="32"/>
  <c r="J390" i="32" s="1"/>
  <c r="I239" i="32"/>
  <c r="J239" i="32" s="1"/>
  <c r="I302" i="32"/>
  <c r="J302" i="32" s="1"/>
  <c r="I104" i="32"/>
  <c r="J104" i="32"/>
  <c r="H104" i="32"/>
  <c r="G46" i="32"/>
  <c r="I46" i="32"/>
  <c r="F46" i="32"/>
  <c r="G287" i="32"/>
  <c r="I287" i="32" s="1"/>
  <c r="F287" i="32"/>
  <c r="G475" i="32"/>
  <c r="I475" i="32" s="1"/>
  <c r="F475" i="32"/>
  <c r="I123" i="32"/>
  <c r="J123" i="32"/>
  <c r="G303" i="32"/>
  <c r="J303" i="32" s="1"/>
  <c r="I303" i="32"/>
  <c r="F303" i="32"/>
  <c r="G155" i="32"/>
  <c r="I155" i="32" s="1"/>
  <c r="F155" i="32"/>
  <c r="G399" i="32"/>
  <c r="I399" i="32" s="1"/>
  <c r="F399" i="32"/>
  <c r="G73" i="32"/>
  <c r="F73" i="32"/>
  <c r="G327" i="32"/>
  <c r="F327" i="32"/>
  <c r="G23" i="32"/>
  <c r="F23" i="32"/>
  <c r="I193" i="32"/>
  <c r="J193" i="32" s="1"/>
  <c r="I350" i="32"/>
  <c r="J350" i="32"/>
  <c r="G77" i="32"/>
  <c r="I77" i="32" s="1"/>
  <c r="F77" i="32"/>
  <c r="G111" i="32"/>
  <c r="F111" i="32"/>
  <c r="O272" i="32"/>
  <c r="G272" i="32"/>
  <c r="I272" i="32" s="1"/>
  <c r="F272" i="32"/>
  <c r="I37" i="32"/>
  <c r="J37" i="32" s="1"/>
  <c r="I11" i="32"/>
  <c r="J11" i="32" s="1"/>
  <c r="I168" i="32"/>
  <c r="J168" i="32" s="1"/>
  <c r="I206" i="32"/>
  <c r="J206" i="32"/>
  <c r="I107" i="32"/>
  <c r="J107" i="32" s="1"/>
  <c r="I106" i="32"/>
  <c r="J106" i="32"/>
  <c r="I316" i="32"/>
  <c r="J316" i="32" s="1"/>
  <c r="H131" i="32"/>
  <c r="I131" i="32" s="1"/>
  <c r="J131" i="32" s="1"/>
  <c r="G21" i="32"/>
  <c r="J21" i="32" s="1"/>
  <c r="I21" i="32"/>
  <c r="F21" i="32"/>
  <c r="I188" i="32"/>
  <c r="J188" i="32" s="1"/>
  <c r="G141" i="32"/>
  <c r="I141" i="32"/>
  <c r="F141" i="32"/>
  <c r="G374" i="32"/>
  <c r="F374" i="32"/>
  <c r="G7" i="32"/>
  <c r="I7" i="32" s="1"/>
  <c r="F7" i="32"/>
  <c r="G31" i="32"/>
  <c r="I31" i="32" s="1"/>
  <c r="J31" i="32" s="1"/>
  <c r="F31" i="32"/>
  <c r="H133" i="32"/>
  <c r="I133" i="32"/>
  <c r="J133" i="32" s="1"/>
  <c r="I291" i="32"/>
  <c r="J291" i="32"/>
  <c r="I474" i="32"/>
  <c r="J474" i="32" s="1"/>
  <c r="G187" i="32"/>
  <c r="F187" i="32"/>
  <c r="G278" i="32"/>
  <c r="F278" i="32"/>
  <c r="H383" i="32"/>
  <c r="I409" i="32"/>
  <c r="J409" i="32"/>
  <c r="G211" i="32"/>
  <c r="F211" i="32"/>
  <c r="I301" i="32"/>
  <c r="J301" i="32"/>
  <c r="I234" i="32"/>
  <c r="J234" i="32" s="1"/>
  <c r="G441" i="32"/>
  <c r="I441" i="32" s="1"/>
  <c r="J441" i="32" s="1"/>
  <c r="F441" i="32"/>
  <c r="G185" i="32"/>
  <c r="I185" i="32"/>
  <c r="F185" i="32"/>
  <c r="G125" i="32"/>
  <c r="I125" i="32"/>
  <c r="F125" i="32"/>
  <c r="G453" i="32"/>
  <c r="I453" i="32" s="1"/>
  <c r="J453" i="32" s="1"/>
  <c r="F453" i="32"/>
  <c r="G55" i="32"/>
  <c r="I55" i="32" s="1"/>
  <c r="F55" i="32"/>
  <c r="G394" i="32"/>
  <c r="F394" i="32"/>
  <c r="G28" i="32"/>
  <c r="I28" i="32"/>
  <c r="F28" i="32"/>
  <c r="G309" i="32"/>
  <c r="I309" i="32" s="1"/>
  <c r="F309" i="32"/>
  <c r="G452" i="32"/>
  <c r="I452" i="32" s="1"/>
  <c r="J452" i="32" s="1"/>
  <c r="F452" i="32"/>
  <c r="G87" i="32"/>
  <c r="I87" i="32" s="1"/>
  <c r="J87" i="32" s="1"/>
  <c r="F87" i="32"/>
  <c r="G76" i="32"/>
  <c r="I76" i="32" s="1"/>
  <c r="F76" i="32"/>
  <c r="G98" i="32"/>
  <c r="I98" i="32" s="1"/>
  <c r="F98" i="32"/>
  <c r="O372" i="32"/>
  <c r="O493" i="32"/>
  <c r="H372" i="32"/>
  <c r="I372" i="32" s="1"/>
  <c r="J372" i="32" s="1"/>
  <c r="F372" i="32"/>
  <c r="I315" i="32"/>
  <c r="J315" i="32" s="1"/>
  <c r="I229" i="32"/>
  <c r="J229" i="32"/>
  <c r="I122" i="32"/>
  <c r="J122" i="32" s="1"/>
  <c r="I221" i="32"/>
  <c r="J221" i="32"/>
  <c r="H334" i="32"/>
  <c r="I334" i="32" s="1"/>
  <c r="Q493" i="31"/>
  <c r="P493" i="31"/>
  <c r="I59" i="31"/>
  <c r="J59" i="31" s="1"/>
  <c r="H399" i="31"/>
  <c r="I399" i="31"/>
  <c r="J399" i="31" s="1"/>
  <c r="I73" i="31"/>
  <c r="J73" i="31"/>
  <c r="I72" i="31"/>
  <c r="J72" i="31" s="1"/>
  <c r="I71" i="31"/>
  <c r="J71" i="31"/>
  <c r="G225" i="31"/>
  <c r="F225" i="31"/>
  <c r="I116" i="31"/>
  <c r="J116" i="31" s="1"/>
  <c r="G453" i="31"/>
  <c r="F453" i="31"/>
  <c r="I70" i="31"/>
  <c r="J70" i="31" s="1"/>
  <c r="I355" i="31"/>
  <c r="J355" i="31"/>
  <c r="I452" i="31"/>
  <c r="J452" i="31" s="1"/>
  <c r="G373" i="31"/>
  <c r="I373" i="31"/>
  <c r="J373" i="31"/>
  <c r="F373" i="31"/>
  <c r="I398" i="31"/>
  <c r="J398" i="31"/>
  <c r="G372" i="31"/>
  <c r="F372" i="31"/>
  <c r="I397" i="31"/>
  <c r="J397" i="31"/>
  <c r="G451" i="31"/>
  <c r="F451" i="31"/>
  <c r="I424" i="31"/>
  <c r="J424" i="31"/>
  <c r="I313" i="31"/>
  <c r="J313" i="31" s="1"/>
  <c r="I224" i="31"/>
  <c r="J224" i="31"/>
  <c r="H20" i="31"/>
  <c r="I20" i="31" s="1"/>
  <c r="J20" i="31" s="1"/>
  <c r="F20" i="31"/>
  <c r="I223" i="31"/>
  <c r="J223" i="31" s="1"/>
  <c r="I289" i="31"/>
  <c r="J289" i="31"/>
  <c r="I445" i="31"/>
  <c r="J445" i="31" s="1"/>
  <c r="G222" i="31"/>
  <c r="I222" i="31" s="1"/>
  <c r="J222" i="31" s="1"/>
  <c r="F222" i="31"/>
  <c r="I410" i="31"/>
  <c r="J410" i="31"/>
  <c r="I356" i="31"/>
  <c r="J356" i="31" s="1"/>
  <c r="I354" i="31"/>
  <c r="J354" i="31"/>
  <c r="I221" i="31"/>
  <c r="J221" i="31" s="1"/>
  <c r="I371" i="31"/>
  <c r="J371" i="31" s="1"/>
  <c r="I409" i="31"/>
  <c r="J409" i="31" s="1"/>
  <c r="H58" i="31"/>
  <c r="I58" i="31" s="1"/>
  <c r="J58" i="31" s="1"/>
  <c r="H154" i="31"/>
  <c r="I154" i="31" s="1"/>
  <c r="J154" i="31" s="1"/>
  <c r="H57" i="31"/>
  <c r="I57" i="31" s="1"/>
  <c r="J57" i="31" s="1"/>
  <c r="F57" i="31"/>
  <c r="I288" i="31"/>
  <c r="J288" i="31" s="1"/>
  <c r="I353" i="31"/>
  <c r="J353" i="31"/>
  <c r="I352" i="31"/>
  <c r="J352" i="31" s="1"/>
  <c r="I351" i="31"/>
  <c r="J351" i="31"/>
  <c r="I350" i="31"/>
  <c r="J350" i="31" s="1"/>
  <c r="I448" i="31"/>
  <c r="J448" i="31"/>
  <c r="I220" i="31"/>
  <c r="J220" i="31" s="1"/>
  <c r="I415" i="31"/>
  <c r="J415" i="31"/>
  <c r="H396" i="31"/>
  <c r="I396" i="31" s="1"/>
  <c r="J396" i="31" s="1"/>
  <c r="I395" i="31"/>
  <c r="J395" i="31"/>
  <c r="I349" i="31"/>
  <c r="J349" i="31" s="1"/>
  <c r="I416" i="31"/>
  <c r="J416" i="31"/>
  <c r="H19" i="31"/>
  <c r="I19" i="31" s="1"/>
  <c r="J19" i="31" s="1"/>
  <c r="F19" i="31"/>
  <c r="I348" i="31"/>
  <c r="J348" i="31" s="1"/>
  <c r="G447" i="31"/>
  <c r="I447" i="31"/>
  <c r="F447" i="31"/>
  <c r="I56" i="31"/>
  <c r="J56" i="31"/>
  <c r="I219" i="31"/>
  <c r="J219" i="31" s="1"/>
  <c r="I218" i="31"/>
  <c r="J218" i="31" s="1"/>
  <c r="I217" i="31"/>
  <c r="J217" i="31" s="1"/>
  <c r="I153" i="31"/>
  <c r="J153" i="31"/>
  <c r="H482" i="31"/>
  <c r="I482" i="31" s="1"/>
  <c r="J482" i="31" s="1"/>
  <c r="I481" i="31"/>
  <c r="J481" i="31"/>
  <c r="I347" i="31"/>
  <c r="J347" i="31" s="1"/>
  <c r="I216" i="31"/>
  <c r="J216" i="31" s="1"/>
  <c r="I96" i="31"/>
  <c r="J96" i="31" s="1"/>
  <c r="I75" i="31"/>
  <c r="J75" i="31"/>
  <c r="H287" i="31"/>
  <c r="I287" i="31" s="1"/>
  <c r="J287" i="31"/>
  <c r="H286" i="31"/>
  <c r="I286" i="31" s="1"/>
  <c r="J286" i="31" s="1"/>
  <c r="F286" i="31"/>
  <c r="I18" i="31"/>
  <c r="J18" i="31" s="1"/>
  <c r="F18" i="31"/>
  <c r="I346" i="31"/>
  <c r="J346" i="31"/>
  <c r="I215" i="31"/>
  <c r="J215" i="31" s="1"/>
  <c r="G345" i="31"/>
  <c r="F345" i="31"/>
  <c r="I344" i="31"/>
  <c r="J344" i="31" s="1"/>
  <c r="I343" i="31"/>
  <c r="J343" i="31"/>
  <c r="I342" i="31"/>
  <c r="J342" i="31" s="1"/>
  <c r="I81" i="31"/>
  <c r="J81" i="31" s="1"/>
  <c r="I214" i="31"/>
  <c r="J214" i="31" s="1"/>
  <c r="G17" i="31"/>
  <c r="I17" i="31" s="1"/>
  <c r="J17" i="31"/>
  <c r="F17" i="31"/>
  <c r="I408" i="31"/>
  <c r="J408" i="31" s="1"/>
  <c r="I341" i="31"/>
  <c r="J341" i="31" s="1"/>
  <c r="G16" i="31"/>
  <c r="I16" i="31" s="1"/>
  <c r="J16" i="31"/>
  <c r="F16" i="31"/>
  <c r="G444" i="31"/>
  <c r="I444" i="31" s="1"/>
  <c r="F444" i="31"/>
  <c r="G443" i="31"/>
  <c r="I443" i="31" s="1"/>
  <c r="J443" i="31"/>
  <c r="F443" i="31"/>
  <c r="I340" i="31"/>
  <c r="J340" i="31" s="1"/>
  <c r="I339" i="31"/>
  <c r="J339" i="31" s="1"/>
  <c r="I394" i="31"/>
  <c r="J394" i="31"/>
  <c r="H394" i="31"/>
  <c r="G15" i="31"/>
  <c r="I15" i="31" s="1"/>
  <c r="F15" i="31"/>
  <c r="I55" i="31"/>
  <c r="J55" i="31" s="1"/>
  <c r="I442" i="31"/>
  <c r="J442" i="31"/>
  <c r="G80" i="31"/>
  <c r="I80" i="31" s="1"/>
  <c r="F80" i="31"/>
  <c r="I115" i="31"/>
  <c r="J115" i="31" s="1"/>
  <c r="I441" i="31"/>
  <c r="J441" i="31" s="1"/>
  <c r="H393" i="31"/>
  <c r="I393" i="31" s="1"/>
  <c r="J393" i="31" s="1"/>
  <c r="H95" i="31"/>
  <c r="I95" i="31" s="1"/>
  <c r="J95" i="31" s="1"/>
  <c r="I213" i="31"/>
  <c r="J213" i="31"/>
  <c r="I465" i="31"/>
  <c r="J465" i="31" s="1"/>
  <c r="I74" i="31"/>
  <c r="J74" i="31"/>
  <c r="G212" i="31"/>
  <c r="I212" i="31" s="1"/>
  <c r="F212" i="31"/>
  <c r="I158" i="31"/>
  <c r="J158" i="31"/>
  <c r="I114" i="31"/>
  <c r="J114" i="31" s="1"/>
  <c r="I480" i="31"/>
  <c r="J480" i="31" s="1"/>
  <c r="I312" i="31"/>
  <c r="J312" i="31" s="1"/>
  <c r="I157" i="31"/>
  <c r="J157" i="31"/>
  <c r="G211" i="31"/>
  <c r="I211" i="31" s="1"/>
  <c r="J211" i="31"/>
  <c r="F211" i="31"/>
  <c r="J113" i="31"/>
  <c r="I113" i="31"/>
  <c r="H310" i="31"/>
  <c r="I310" i="31" s="1"/>
  <c r="J310" i="31" s="1"/>
  <c r="G310" i="31"/>
  <c r="F310" i="31"/>
  <c r="H94" i="31"/>
  <c r="I94" i="31" s="1"/>
  <c r="J94" i="31" s="1"/>
  <c r="I466" i="31"/>
  <c r="J466" i="31"/>
  <c r="I338" i="31"/>
  <c r="J338" i="31" s="1"/>
  <c r="G210" i="31"/>
  <c r="I210" i="31" s="1"/>
  <c r="F210" i="31"/>
  <c r="H209" i="31"/>
  <c r="I209" i="31"/>
  <c r="J209" i="31" s="1"/>
  <c r="F209" i="31"/>
  <c r="G285" i="31"/>
  <c r="I285" i="31" s="1"/>
  <c r="F285" i="31"/>
  <c r="I93" i="31"/>
  <c r="J93" i="31" s="1"/>
  <c r="I311" i="31"/>
  <c r="J311" i="31" s="1"/>
  <c r="I208" i="31"/>
  <c r="G208" i="31"/>
  <c r="F208" i="31"/>
  <c r="I284" i="31"/>
  <c r="J284" i="31" s="1"/>
  <c r="I392" i="31"/>
  <c r="J392" i="31"/>
  <c r="I440" i="31"/>
  <c r="J440" i="31" s="1"/>
  <c r="F440" i="31"/>
  <c r="G207" i="31"/>
  <c r="F207" i="31"/>
  <c r="I337" i="31"/>
  <c r="J337" i="31" s="1"/>
  <c r="G112" i="31"/>
  <c r="I112" i="31"/>
  <c r="F112" i="31"/>
  <c r="G61" i="31"/>
  <c r="I61" i="31" s="1"/>
  <c r="F61" i="31"/>
  <c r="I283" i="31"/>
  <c r="J283" i="31"/>
  <c r="G111" i="31"/>
  <c r="F111" i="31"/>
  <c r="G282" i="31"/>
  <c r="F282" i="31"/>
  <c r="G60" i="31"/>
  <c r="F60" i="31"/>
  <c r="I226" i="31"/>
  <c r="J226" i="31"/>
  <c r="G450" i="31"/>
  <c r="F450" i="31"/>
  <c r="I156" i="31"/>
  <c r="J156" i="31" s="1"/>
  <c r="G281" i="31"/>
  <c r="F281" i="31"/>
  <c r="I423" i="31"/>
  <c r="J423" i="31" s="1"/>
  <c r="G21" i="31"/>
  <c r="F21" i="31"/>
  <c r="I92" i="31"/>
  <c r="J92" i="31" s="1"/>
  <c r="I206" i="31"/>
  <c r="J206" i="31"/>
  <c r="I91" i="31"/>
  <c r="J91" i="31" s="1"/>
  <c r="G205" i="31"/>
  <c r="F205" i="31"/>
  <c r="G204" i="31"/>
  <c r="F204" i="31"/>
  <c r="I155" i="31"/>
  <c r="J155" i="31"/>
  <c r="I336" i="31"/>
  <c r="J336" i="31" s="1"/>
  <c r="I335" i="31"/>
  <c r="J335" i="31"/>
  <c r="G280" i="31"/>
  <c r="F280" i="31"/>
  <c r="H14" i="31"/>
  <c r="G14" i="31"/>
  <c r="I14" i="31"/>
  <c r="F14" i="31"/>
  <c r="G54" i="31"/>
  <c r="F54" i="31"/>
  <c r="H279" i="31"/>
  <c r="I279" i="31"/>
  <c r="J279" i="31" s="1"/>
  <c r="F279" i="31"/>
  <c r="I152" i="31"/>
  <c r="J152" i="31" s="1"/>
  <c r="G53" i="31"/>
  <c r="I53" i="31" s="1"/>
  <c r="F53" i="31"/>
  <c r="G52" i="31"/>
  <c r="F52" i="31"/>
  <c r="G110" i="31"/>
  <c r="I110" i="31" s="1"/>
  <c r="F110" i="31"/>
  <c r="G109" i="31"/>
  <c r="I109" i="31" s="1"/>
  <c r="F109" i="31"/>
  <c r="I108" i="31"/>
  <c r="G108" i="31"/>
  <c r="F108" i="31"/>
  <c r="I404" i="31"/>
  <c r="J404" i="31"/>
  <c r="I403" i="31"/>
  <c r="J403" i="31" s="1"/>
  <c r="I391" i="31"/>
  <c r="J391" i="31" s="1"/>
  <c r="H391" i="31"/>
  <c r="H390" i="31"/>
  <c r="I390" i="31"/>
  <c r="J390" i="31" s="1"/>
  <c r="G107" i="31"/>
  <c r="I107" i="31" s="1"/>
  <c r="J107" i="31" s="1"/>
  <c r="F107" i="31"/>
  <c r="H106" i="31"/>
  <c r="I106" i="31" s="1"/>
  <c r="J106" i="31"/>
  <c r="F106" i="31"/>
  <c r="I334" i="31"/>
  <c r="J334" i="31" s="1"/>
  <c r="I333" i="31"/>
  <c r="J333" i="31"/>
  <c r="H51" i="31"/>
  <c r="I51" i="31" s="1"/>
  <c r="J51" i="31"/>
  <c r="F51" i="31"/>
  <c r="I278" i="31"/>
  <c r="J278" i="31" s="1"/>
  <c r="I203" i="31"/>
  <c r="J203" i="31"/>
  <c r="G473" i="31"/>
  <c r="I473" i="31" s="1"/>
  <c r="J473" i="31"/>
  <c r="F473" i="31"/>
  <c r="G202" i="31"/>
  <c r="I202" i="31" s="1"/>
  <c r="J202" i="31" s="1"/>
  <c r="F202" i="31"/>
  <c r="I277" i="31"/>
  <c r="J277" i="31" s="1"/>
  <c r="H69" i="31"/>
  <c r="I69" i="31" s="1"/>
  <c r="J69" i="31" s="1"/>
  <c r="H13" i="31"/>
  <c r="I13" i="31"/>
  <c r="J13" i="31"/>
  <c r="F13" i="31"/>
  <c r="I151" i="31"/>
  <c r="J151" i="31"/>
  <c r="I276" i="31"/>
  <c r="J276" i="31" s="1"/>
  <c r="I275" i="31"/>
  <c r="J275" i="31"/>
  <c r="I439" i="31"/>
  <c r="J439" i="31" s="1"/>
  <c r="I274" i="31"/>
  <c r="J274" i="31"/>
  <c r="I438" i="31"/>
  <c r="J438" i="31"/>
  <c r="G437" i="31"/>
  <c r="F437" i="31"/>
  <c r="I273" i="31"/>
  <c r="J273" i="31"/>
  <c r="I389" i="31"/>
  <c r="J389" i="31"/>
  <c r="I388" i="31"/>
  <c r="J388" i="31"/>
  <c r="H387" i="31"/>
  <c r="I387" i="31"/>
  <c r="J387" i="31" s="1"/>
  <c r="I201" i="31"/>
  <c r="J201" i="31" s="1"/>
  <c r="I105" i="31"/>
  <c r="J105" i="31"/>
  <c r="I402" i="31"/>
  <c r="J402" i="31" s="1"/>
  <c r="I150" i="31"/>
  <c r="J150" i="31" s="1"/>
  <c r="G407" i="31"/>
  <c r="F407" i="31"/>
  <c r="I370" i="31"/>
  <c r="J370" i="31" s="1"/>
  <c r="I401" i="31"/>
  <c r="J401" i="31" s="1"/>
  <c r="I272" i="31"/>
  <c r="J272" i="31"/>
  <c r="G200" i="31"/>
  <c r="I200" i="31"/>
  <c r="F200" i="31"/>
  <c r="I271" i="31"/>
  <c r="J271" i="31" s="1"/>
  <c r="H386" i="31"/>
  <c r="I386" i="31"/>
  <c r="J386" i="31" s="1"/>
  <c r="G436" i="31"/>
  <c r="F436" i="31"/>
  <c r="I199" i="31"/>
  <c r="J199" i="31" s="1"/>
  <c r="I270" i="31"/>
  <c r="J270" i="31"/>
  <c r="G198" i="31"/>
  <c r="F198" i="31"/>
  <c r="H385" i="31"/>
  <c r="I385" i="31"/>
  <c r="J385" i="31"/>
  <c r="I50" i="31"/>
  <c r="J50" i="31" s="1"/>
  <c r="I49" i="31"/>
  <c r="J49" i="31" s="1"/>
  <c r="I48" i="31"/>
  <c r="J48" i="31" s="1"/>
  <c r="I62" i="31"/>
  <c r="J62" i="31"/>
  <c r="I479" i="31"/>
  <c r="J479" i="31" s="1"/>
  <c r="I435" i="31"/>
  <c r="J435" i="31" s="1"/>
  <c r="G12" i="31"/>
  <c r="I12" i="31" s="1"/>
  <c r="F12" i="31"/>
  <c r="G269" i="31"/>
  <c r="I269" i="31" s="1"/>
  <c r="F269" i="31"/>
  <c r="H268" i="31"/>
  <c r="I268" i="31"/>
  <c r="J268" i="31" s="1"/>
  <c r="I197" i="31"/>
  <c r="J197" i="31"/>
  <c r="I267" i="31"/>
  <c r="J267" i="31" s="1"/>
  <c r="G266" i="31"/>
  <c r="F266" i="31"/>
  <c r="I196" i="31"/>
  <c r="J196" i="31" s="1"/>
  <c r="G195" i="31"/>
  <c r="F195" i="31"/>
  <c r="H194" i="31"/>
  <c r="I194" i="31" s="1"/>
  <c r="J194" i="31"/>
  <c r="I265" i="31"/>
  <c r="J265" i="31"/>
  <c r="I79" i="31"/>
  <c r="J79" i="31"/>
  <c r="I78" i="31"/>
  <c r="J78" i="31"/>
  <c r="G193" i="31"/>
  <c r="F193" i="31"/>
  <c r="G309" i="31"/>
  <c r="F309" i="31"/>
  <c r="G308" i="31"/>
  <c r="F308" i="31"/>
  <c r="G307" i="31"/>
  <c r="F307" i="31"/>
  <c r="I332" i="31"/>
  <c r="J332" i="31"/>
  <c r="G306" i="31"/>
  <c r="I306" i="31"/>
  <c r="F306" i="31"/>
  <c r="G305" i="31"/>
  <c r="I305" i="31" s="1"/>
  <c r="F305" i="31"/>
  <c r="G304" i="31"/>
  <c r="I304" i="31"/>
  <c r="F304" i="31"/>
  <c r="G303" i="31"/>
  <c r="I303" i="31" s="1"/>
  <c r="F303" i="31"/>
  <c r="G264" i="31"/>
  <c r="I264" i="31" s="1"/>
  <c r="F264" i="31"/>
  <c r="G302" i="31"/>
  <c r="F302" i="31"/>
  <c r="G301" i="31"/>
  <c r="I301" i="31" s="1"/>
  <c r="F301" i="31"/>
  <c r="G300" i="31"/>
  <c r="I300" i="31"/>
  <c r="F300" i="31"/>
  <c r="G299" i="31"/>
  <c r="I299" i="31" s="1"/>
  <c r="F299" i="31"/>
  <c r="G298" i="31"/>
  <c r="I298" i="31"/>
  <c r="J298" i="31" s="1"/>
  <c r="F298" i="31"/>
  <c r="G297" i="31"/>
  <c r="I297" i="31"/>
  <c r="J297" i="31" s="1"/>
  <c r="F297" i="31"/>
  <c r="G296" i="31"/>
  <c r="F296" i="31"/>
  <c r="G295" i="31"/>
  <c r="I295" i="31"/>
  <c r="J295" i="31" s="1"/>
  <c r="F295" i="31"/>
  <c r="G294" i="31"/>
  <c r="I294" i="31"/>
  <c r="J294" i="31"/>
  <c r="F294" i="31"/>
  <c r="G293" i="31"/>
  <c r="I293" i="31"/>
  <c r="J293" i="31"/>
  <c r="F293" i="31"/>
  <c r="G292" i="31"/>
  <c r="I292" i="31"/>
  <c r="J292" i="31"/>
  <c r="F292" i="31"/>
  <c r="G291" i="31"/>
  <c r="I291" i="31"/>
  <c r="F291" i="31"/>
  <c r="G290" i="31"/>
  <c r="I290" i="31" s="1"/>
  <c r="F290" i="31"/>
  <c r="I369" i="31"/>
  <c r="J369" i="31" s="1"/>
  <c r="I368" i="31"/>
  <c r="J368" i="31"/>
  <c r="I487" i="31"/>
  <c r="J487" i="31" s="1"/>
  <c r="G263" i="31"/>
  <c r="I263" i="31" s="1"/>
  <c r="F263" i="31"/>
  <c r="I149" i="31"/>
  <c r="J149" i="31"/>
  <c r="I262" i="31"/>
  <c r="J262" i="31"/>
  <c r="G261" i="31"/>
  <c r="I261" i="31"/>
  <c r="F261" i="31"/>
  <c r="G260" i="31"/>
  <c r="I260" i="31" s="1"/>
  <c r="F260" i="31"/>
  <c r="G259" i="31"/>
  <c r="I259" i="31" s="1"/>
  <c r="F259" i="31"/>
  <c r="H90" i="31"/>
  <c r="I90" i="31"/>
  <c r="J90" i="31" s="1"/>
  <c r="H414" i="31"/>
  <c r="I414" i="31"/>
  <c r="J414" i="31"/>
  <c r="I148" i="31"/>
  <c r="J148" i="31" s="1"/>
  <c r="I192" i="31"/>
  <c r="J192" i="31" s="1"/>
  <c r="G77" i="31"/>
  <c r="F77" i="31"/>
  <c r="G191" i="31"/>
  <c r="F191" i="31"/>
  <c r="J47" i="31"/>
  <c r="I47" i="31"/>
  <c r="G190" i="31"/>
  <c r="I190" i="31" s="1"/>
  <c r="F190" i="31"/>
  <c r="G104" i="31"/>
  <c r="I104" i="31"/>
  <c r="J104" i="31" s="1"/>
  <c r="F104" i="31"/>
  <c r="G189" i="31"/>
  <c r="I189" i="31"/>
  <c r="F189" i="31"/>
  <c r="I188" i="31"/>
  <c r="J188" i="31" s="1"/>
  <c r="G258" i="31"/>
  <c r="I258" i="31" s="1"/>
  <c r="J258" i="31" s="1"/>
  <c r="F258" i="31"/>
  <c r="I422" i="31"/>
  <c r="J422" i="31"/>
  <c r="I384" i="31"/>
  <c r="J384" i="31" s="1"/>
  <c r="I11" i="31"/>
  <c r="J11" i="31" s="1"/>
  <c r="I103" i="31"/>
  <c r="J103" i="31" s="1"/>
  <c r="I257" i="31"/>
  <c r="J257" i="31"/>
  <c r="I367" i="31"/>
  <c r="J367" i="31" s="1"/>
  <c r="I366" i="31"/>
  <c r="J366" i="31" s="1"/>
  <c r="I365" i="31"/>
  <c r="J365" i="31" s="1"/>
  <c r="I364" i="31"/>
  <c r="J364" i="31"/>
  <c r="I363" i="31"/>
  <c r="J363" i="31" s="1"/>
  <c r="I485" i="31"/>
  <c r="J485" i="31" s="1"/>
  <c r="I362" i="31"/>
  <c r="J362" i="31" s="1"/>
  <c r="I383" i="31"/>
  <c r="J383" i="31"/>
  <c r="I382" i="31"/>
  <c r="J382" i="31" s="1"/>
  <c r="J381" i="31"/>
  <c r="I381" i="31"/>
  <c r="I331" i="31"/>
  <c r="J331" i="31" s="1"/>
  <c r="H330" i="31"/>
  <c r="I330" i="31" s="1"/>
  <c r="J330" i="31" s="1"/>
  <c r="I329" i="31"/>
  <c r="J329" i="31"/>
  <c r="G102" i="31"/>
  <c r="I102" i="31" s="1"/>
  <c r="F102" i="31"/>
  <c r="G101" i="31"/>
  <c r="I101" i="31"/>
  <c r="F101" i="31"/>
  <c r="J100" i="31"/>
  <c r="G100" i="31"/>
  <c r="I100" i="31" s="1"/>
  <c r="F100" i="31"/>
  <c r="G99" i="31"/>
  <c r="I99" i="31"/>
  <c r="F99" i="31"/>
  <c r="I405" i="31"/>
  <c r="G405" i="31"/>
  <c r="F405" i="31"/>
  <c r="I421" i="31"/>
  <c r="J421" i="31" s="1"/>
  <c r="I187" i="31"/>
  <c r="J187" i="31" s="1"/>
  <c r="I46" i="31"/>
  <c r="J46" i="31" s="1"/>
  <c r="G98" i="31"/>
  <c r="I98" i="31"/>
  <c r="F98" i="31"/>
  <c r="I328" i="31"/>
  <c r="J328" i="31"/>
  <c r="I327" i="31"/>
  <c r="J327" i="31" s="1"/>
  <c r="G256" i="31"/>
  <c r="I256" i="31"/>
  <c r="F256" i="31"/>
  <c r="I326" i="31"/>
  <c r="J326" i="31" s="1"/>
  <c r="G255" i="31"/>
  <c r="F255" i="31"/>
  <c r="I186" i="31"/>
  <c r="J186" i="31" s="1"/>
  <c r="I185" i="31"/>
  <c r="J185" i="31" s="1"/>
  <c r="I184" i="31"/>
  <c r="J184" i="31"/>
  <c r="I183" i="31"/>
  <c r="J183" i="31" s="1"/>
  <c r="I254" i="31"/>
  <c r="J254" i="31" s="1"/>
  <c r="I380" i="31"/>
  <c r="J380" i="31" s="1"/>
  <c r="I182" i="31"/>
  <c r="J182" i="31"/>
  <c r="I181" i="31"/>
  <c r="J181" i="31" s="1"/>
  <c r="I180" i="31"/>
  <c r="J180" i="31" s="1"/>
  <c r="I179" i="31"/>
  <c r="J179" i="31" s="1"/>
  <c r="I178" i="31"/>
  <c r="J178" i="31"/>
  <c r="I45" i="31"/>
  <c r="J45" i="31" s="1"/>
  <c r="I325" i="31"/>
  <c r="J325" i="31" s="1"/>
  <c r="I379" i="31"/>
  <c r="J379" i="31" s="1"/>
  <c r="I361" i="31"/>
  <c r="J361" i="31"/>
  <c r="G253" i="31"/>
  <c r="F253" i="31"/>
  <c r="H360" i="31"/>
  <c r="I360" i="31"/>
  <c r="J360" i="31" s="1"/>
  <c r="G252" i="31"/>
  <c r="I252" i="31"/>
  <c r="F252" i="31"/>
  <c r="G251" i="31"/>
  <c r="I251" i="31" s="1"/>
  <c r="F251" i="31"/>
  <c r="G44" i="31"/>
  <c r="I44" i="31"/>
  <c r="F44" i="31"/>
  <c r="I420" i="31"/>
  <c r="J420" i="31" s="1"/>
  <c r="I419" i="31"/>
  <c r="J419" i="31" s="1"/>
  <c r="G478" i="31"/>
  <c r="I478" i="31" s="1"/>
  <c r="F478" i="31"/>
  <c r="G400" i="31"/>
  <c r="I400" i="31"/>
  <c r="F400" i="31"/>
  <c r="I250" i="31"/>
  <c r="J250" i="31" s="1"/>
  <c r="I43" i="31"/>
  <c r="G43" i="31"/>
  <c r="J43" i="31" s="1"/>
  <c r="F43" i="31"/>
  <c r="G42" i="31"/>
  <c r="I42" i="31" s="1"/>
  <c r="F42" i="31"/>
  <c r="I359" i="31"/>
  <c r="J359" i="31"/>
  <c r="G41" i="31"/>
  <c r="I41" i="31"/>
  <c r="F41" i="31"/>
  <c r="I97" i="31"/>
  <c r="J97" i="31" s="1"/>
  <c r="I147" i="31"/>
  <c r="J147" i="31" s="1"/>
  <c r="I146" i="31"/>
  <c r="J146" i="31" s="1"/>
  <c r="G177" i="31"/>
  <c r="J177" i="31" s="1"/>
  <c r="I177" i="31"/>
  <c r="F177" i="31"/>
  <c r="G176" i="31"/>
  <c r="F176" i="31"/>
  <c r="I449" i="31"/>
  <c r="J449" i="31" s="1"/>
  <c r="G68" i="31"/>
  <c r="F68" i="31"/>
  <c r="G477" i="31"/>
  <c r="F477" i="31"/>
  <c r="G476" i="31"/>
  <c r="I476" i="31" s="1"/>
  <c r="F476" i="31"/>
  <c r="G249" i="31"/>
  <c r="I249" i="31"/>
  <c r="F249" i="31"/>
  <c r="G472" i="31"/>
  <c r="I472" i="31" s="1"/>
  <c r="J472" i="31"/>
  <c r="F472" i="31"/>
  <c r="G471" i="31"/>
  <c r="I471" i="31" s="1"/>
  <c r="J471" i="31" s="1"/>
  <c r="F471" i="31"/>
  <c r="G470" i="31"/>
  <c r="I470" i="31" s="1"/>
  <c r="F470" i="31"/>
  <c r="G469" i="31"/>
  <c r="I469" i="31"/>
  <c r="F469" i="31"/>
  <c r="G468" i="31"/>
  <c r="F468" i="31"/>
  <c r="G467" i="31"/>
  <c r="F467" i="31"/>
  <c r="I40" i="31"/>
  <c r="J40" i="31" s="1"/>
  <c r="H67" i="31"/>
  <c r="I67" i="31" s="1"/>
  <c r="J67" i="31"/>
  <c r="I145" i="31"/>
  <c r="J145" i="31"/>
  <c r="G175" i="31"/>
  <c r="I175" i="31"/>
  <c r="F175" i="31"/>
  <c r="I324" i="31"/>
  <c r="J324" i="31"/>
  <c r="G10" i="31"/>
  <c r="F10" i="31"/>
  <c r="G248" i="31"/>
  <c r="F248" i="31"/>
  <c r="I66" i="31"/>
  <c r="J66" i="31"/>
  <c r="I65" i="31"/>
  <c r="J65" i="31"/>
  <c r="G247" i="31"/>
  <c r="F247" i="31"/>
  <c r="I174" i="31"/>
  <c r="J174" i="31"/>
  <c r="I406" i="31"/>
  <c r="J406" i="31"/>
  <c r="G173" i="31"/>
  <c r="F173" i="31"/>
  <c r="I246" i="31"/>
  <c r="J246" i="31"/>
  <c r="G245" i="31"/>
  <c r="F245" i="31"/>
  <c r="G244" i="31"/>
  <c r="F244" i="31"/>
  <c r="G39" i="31"/>
  <c r="F39" i="31"/>
  <c r="G38" i="31"/>
  <c r="F38" i="31"/>
  <c r="G37" i="31"/>
  <c r="F37" i="31"/>
  <c r="G36" i="31"/>
  <c r="F36" i="31"/>
  <c r="G35" i="31"/>
  <c r="F35" i="31"/>
  <c r="G34" i="31"/>
  <c r="F34" i="31"/>
  <c r="G33" i="31"/>
  <c r="F33" i="31"/>
  <c r="G32" i="31"/>
  <c r="F32" i="31"/>
  <c r="G434" i="31"/>
  <c r="F434" i="31"/>
  <c r="G172" i="31"/>
  <c r="F172" i="31"/>
  <c r="G171" i="31"/>
  <c r="F171" i="31"/>
  <c r="H89" i="31"/>
  <c r="I89" i="31"/>
  <c r="J89" i="31" s="1"/>
  <c r="G243" i="31"/>
  <c r="F243" i="31"/>
  <c r="I242" i="31"/>
  <c r="G242" i="31"/>
  <c r="F242" i="31"/>
  <c r="G323" i="31"/>
  <c r="F323" i="31"/>
  <c r="I170" i="31"/>
  <c r="G170" i="31"/>
  <c r="J170" i="31" s="1"/>
  <c r="F170" i="31"/>
  <c r="I64" i="31"/>
  <c r="J64" i="31" s="1"/>
  <c r="G241" i="31"/>
  <c r="I241" i="31" s="1"/>
  <c r="J241" i="31"/>
  <c r="F241" i="31"/>
  <c r="G240" i="31"/>
  <c r="I240" i="31" s="1"/>
  <c r="J240" i="31" s="1"/>
  <c r="F240" i="31"/>
  <c r="G169" i="31"/>
  <c r="I169" i="31" s="1"/>
  <c r="F169" i="31"/>
  <c r="G9" i="31"/>
  <c r="I9" i="31"/>
  <c r="F9" i="31"/>
  <c r="J486" i="31"/>
  <c r="I486" i="31"/>
  <c r="I239" i="31"/>
  <c r="J239" i="31" s="1"/>
  <c r="G168" i="31"/>
  <c r="F168" i="31"/>
  <c r="I433" i="31"/>
  <c r="J433" i="31" s="1"/>
  <c r="I432" i="31"/>
  <c r="J432" i="31" s="1"/>
  <c r="I144" i="31"/>
  <c r="J144" i="31" s="1"/>
  <c r="G378" i="31"/>
  <c r="I378" i="31" s="1"/>
  <c r="J378" i="31" s="1"/>
  <c r="F378" i="31"/>
  <c r="G358" i="31"/>
  <c r="F358" i="31"/>
  <c r="I31" i="31"/>
  <c r="J31" i="31" s="1"/>
  <c r="G464" i="31"/>
  <c r="I464" i="31" s="1"/>
  <c r="J464" i="31" s="1"/>
  <c r="F464" i="31"/>
  <c r="G463" i="31"/>
  <c r="I463" i="31" s="1"/>
  <c r="F463" i="31"/>
  <c r="I462" i="31"/>
  <c r="J462" i="31"/>
  <c r="G461" i="31"/>
  <c r="I461" i="31"/>
  <c r="F461" i="31"/>
  <c r="G460" i="31"/>
  <c r="F460" i="31"/>
  <c r="G459" i="31"/>
  <c r="I459" i="31" s="1"/>
  <c r="F459" i="31"/>
  <c r="G458" i="31"/>
  <c r="I458" i="31" s="1"/>
  <c r="J458" i="31" s="1"/>
  <c r="F458" i="31"/>
  <c r="G457" i="31"/>
  <c r="I457" i="31"/>
  <c r="F457" i="31"/>
  <c r="I456" i="31"/>
  <c r="G456" i="31"/>
  <c r="J456" i="31" s="1"/>
  <c r="F456" i="31"/>
  <c r="G455" i="31"/>
  <c r="I455" i="31" s="1"/>
  <c r="F455" i="31"/>
  <c r="I167" i="31"/>
  <c r="J167" i="31"/>
  <c r="G167" i="31"/>
  <c r="F167" i="31"/>
  <c r="I166" i="31"/>
  <c r="J166" i="31"/>
  <c r="H165" i="31"/>
  <c r="I165" i="31"/>
  <c r="J165" i="31" s="1"/>
  <c r="G431" i="31"/>
  <c r="F431" i="31"/>
  <c r="G430" i="31"/>
  <c r="I430" i="31" s="1"/>
  <c r="F430" i="31"/>
  <c r="I143" i="31"/>
  <c r="J143" i="31"/>
  <c r="I142" i="31"/>
  <c r="J142" i="31"/>
  <c r="I141" i="31"/>
  <c r="J141" i="31"/>
  <c r="I140" i="31"/>
  <c r="J140" i="31"/>
  <c r="I139" i="31"/>
  <c r="J139" i="31" s="1"/>
  <c r="I138" i="31"/>
  <c r="J138" i="31"/>
  <c r="I137" i="31"/>
  <c r="J137" i="31"/>
  <c r="I136" i="31"/>
  <c r="J136" i="31"/>
  <c r="I135" i="31"/>
  <c r="J135" i="31"/>
  <c r="I134" i="31"/>
  <c r="J134" i="31"/>
  <c r="I133" i="31"/>
  <c r="J133" i="31" s="1"/>
  <c r="I132" i="31"/>
  <c r="J132" i="31"/>
  <c r="I131" i="31"/>
  <c r="J131" i="31"/>
  <c r="I130" i="31"/>
  <c r="J130" i="31"/>
  <c r="I129" i="31"/>
  <c r="J129" i="31" s="1"/>
  <c r="I128" i="31"/>
  <c r="J128" i="31"/>
  <c r="I127" i="31"/>
  <c r="J127" i="31"/>
  <c r="I126" i="31"/>
  <c r="J126" i="31"/>
  <c r="I125" i="31"/>
  <c r="J125" i="31"/>
  <c r="I124" i="31"/>
  <c r="J124" i="31"/>
  <c r="I123" i="31"/>
  <c r="J123" i="31" s="1"/>
  <c r="I122" i="31"/>
  <c r="J122" i="31"/>
  <c r="I121" i="31"/>
  <c r="J121" i="31"/>
  <c r="I120" i="31"/>
  <c r="J120" i="31"/>
  <c r="I119" i="31"/>
  <c r="J119" i="31"/>
  <c r="I118" i="31"/>
  <c r="J118" i="31"/>
  <c r="I322" i="31"/>
  <c r="J322" i="31" s="1"/>
  <c r="H321" i="31"/>
  <c r="I321" i="31"/>
  <c r="J321" i="31" s="1"/>
  <c r="I320" i="31"/>
  <c r="J320" i="31" s="1"/>
  <c r="G76" i="31"/>
  <c r="I76" i="31" s="1"/>
  <c r="F76" i="31"/>
  <c r="I446" i="31"/>
  <c r="J446" i="31"/>
  <c r="I238" i="31"/>
  <c r="J238" i="31"/>
  <c r="I418" i="31"/>
  <c r="J418" i="31"/>
  <c r="G429" i="31"/>
  <c r="I429" i="31"/>
  <c r="F429" i="31"/>
  <c r="I377" i="31"/>
  <c r="J377" i="31" s="1"/>
  <c r="G30" i="31"/>
  <c r="I30" i="31" s="1"/>
  <c r="F30" i="31"/>
  <c r="G454" i="31"/>
  <c r="F454" i="31"/>
  <c r="I357" i="31"/>
  <c r="J357" i="31" s="1"/>
  <c r="G428" i="31"/>
  <c r="I428" i="31" s="1"/>
  <c r="J428" i="31"/>
  <c r="F428" i="31"/>
  <c r="I84" i="31"/>
  <c r="J84" i="31" s="1"/>
  <c r="I117" i="31"/>
  <c r="J117" i="31" s="1"/>
  <c r="I82" i="31"/>
  <c r="J82" i="31" s="1"/>
  <c r="H83" i="31"/>
  <c r="I83" i="31" s="1"/>
  <c r="J83" i="31"/>
  <c r="G427" i="31"/>
  <c r="F427" i="31"/>
  <c r="G426" i="31"/>
  <c r="F426" i="31"/>
  <c r="G29" i="31"/>
  <c r="F29" i="31"/>
  <c r="I28" i="31"/>
  <c r="J28" i="31"/>
  <c r="G164" i="31"/>
  <c r="I164" i="31"/>
  <c r="F164" i="31"/>
  <c r="G237" i="31"/>
  <c r="F237" i="31"/>
  <c r="G236" i="31"/>
  <c r="I236" i="31" s="1"/>
  <c r="F236" i="31"/>
  <c r="G88" i="31"/>
  <c r="I88" i="31"/>
  <c r="J88" i="31" s="1"/>
  <c r="F88" i="31"/>
  <c r="G235" i="31"/>
  <c r="I235" i="31"/>
  <c r="F235" i="31"/>
  <c r="G234" i="31"/>
  <c r="I234" i="31" s="1"/>
  <c r="J234" i="31"/>
  <c r="F234" i="31"/>
  <c r="I376" i="31"/>
  <c r="J376" i="31" s="1"/>
  <c r="I27" i="31"/>
  <c r="J27" i="31" s="1"/>
  <c r="G163" i="31"/>
  <c r="F163" i="31"/>
  <c r="G162" i="31"/>
  <c r="I162" i="31" s="1"/>
  <c r="J162" i="31"/>
  <c r="F162" i="31"/>
  <c r="O8" i="31"/>
  <c r="G8" i="31"/>
  <c r="I8" i="31"/>
  <c r="F8" i="31"/>
  <c r="I233" i="31"/>
  <c r="J233" i="31"/>
  <c r="I26" i="31"/>
  <c r="J26" i="31"/>
  <c r="I25" i="31"/>
  <c r="J25" i="31" s="1"/>
  <c r="I24" i="31"/>
  <c r="J24" i="31"/>
  <c r="I23" i="31"/>
  <c r="J23" i="31"/>
  <c r="I22" i="31"/>
  <c r="J22" i="31"/>
  <c r="I161" i="31"/>
  <c r="J161" i="31"/>
  <c r="H63" i="31"/>
  <c r="I63" i="31"/>
  <c r="J63" i="31" s="1"/>
  <c r="G7" i="31"/>
  <c r="F7" i="31"/>
  <c r="I87" i="31"/>
  <c r="J87" i="31" s="1"/>
  <c r="G413" i="31"/>
  <c r="F413" i="31"/>
  <c r="G412" i="31"/>
  <c r="F412" i="31"/>
  <c r="G411" i="31"/>
  <c r="F411" i="31"/>
  <c r="G86" i="31"/>
  <c r="F86" i="31"/>
  <c r="F493" i="31" s="1"/>
  <c r="H85" i="31"/>
  <c r="I85" i="31"/>
  <c r="J85" i="31" s="1"/>
  <c r="I319" i="31"/>
  <c r="J319" i="31" s="1"/>
  <c r="I318" i="31"/>
  <c r="J318" i="31" s="1"/>
  <c r="G317" i="31"/>
  <c r="F317" i="31"/>
  <c r="G484" i="31"/>
  <c r="F484" i="31"/>
  <c r="H316" i="31"/>
  <c r="I316" i="31" s="1"/>
  <c r="J316" i="31" s="1"/>
  <c r="I315" i="31"/>
  <c r="J315" i="31"/>
  <c r="G483" i="31"/>
  <c r="I483" i="31"/>
  <c r="F483" i="31"/>
  <c r="I417" i="31"/>
  <c r="J417" i="31" s="1"/>
  <c r="I375" i="31"/>
  <c r="J375" i="31" s="1"/>
  <c r="G232" i="31"/>
  <c r="F232" i="31"/>
  <c r="G231" i="31"/>
  <c r="F231" i="31"/>
  <c r="G230" i="31"/>
  <c r="I230" i="31" s="1"/>
  <c r="F230" i="31"/>
  <c r="G6" i="31"/>
  <c r="F6" i="31"/>
  <c r="G475" i="31"/>
  <c r="F475" i="31"/>
  <c r="G474" i="31"/>
  <c r="F474" i="31"/>
  <c r="G425" i="31"/>
  <c r="I425" i="31" s="1"/>
  <c r="F425" i="31"/>
  <c r="G229" i="31"/>
  <c r="F229" i="31"/>
  <c r="G5" i="31"/>
  <c r="F5" i="31"/>
  <c r="G4" i="31"/>
  <c r="F4" i="31"/>
  <c r="G3" i="31"/>
  <c r="I3" i="31"/>
  <c r="F3" i="31"/>
  <c r="G2" i="31"/>
  <c r="G493" i="31" s="1"/>
  <c r="F2" i="31"/>
  <c r="O228" i="31"/>
  <c r="H228" i="31"/>
  <c r="I228" i="31"/>
  <c r="J228" i="31" s="1"/>
  <c r="F228" i="31"/>
  <c r="J160" i="31"/>
  <c r="I160" i="31"/>
  <c r="I159" i="31"/>
  <c r="J159" i="31"/>
  <c r="I374" i="31"/>
  <c r="J374" i="31" s="1"/>
  <c r="I227" i="31"/>
  <c r="J227" i="31"/>
  <c r="H314" i="31"/>
  <c r="I491" i="21"/>
  <c r="J491" i="21" s="1"/>
  <c r="H490" i="21"/>
  <c r="I490" i="21" s="1"/>
  <c r="J490" i="21" s="1"/>
  <c r="F486" i="21"/>
  <c r="G486" i="21"/>
  <c r="I486" i="21" s="1"/>
  <c r="F484" i="21"/>
  <c r="G484" i="21"/>
  <c r="I484" i="21" s="1"/>
  <c r="I485" i="21"/>
  <c r="J485" i="21"/>
  <c r="I487" i="21"/>
  <c r="J487" i="21"/>
  <c r="I488" i="21"/>
  <c r="J488" i="21" s="1"/>
  <c r="I489" i="21"/>
  <c r="J489" i="21"/>
  <c r="I483" i="21"/>
  <c r="J483" i="21" s="1"/>
  <c r="F480" i="21"/>
  <c r="G480" i="21"/>
  <c r="I480" i="21"/>
  <c r="J480" i="21" s="1"/>
  <c r="G478" i="21"/>
  <c r="F478" i="21"/>
  <c r="I482" i="21"/>
  <c r="J482" i="21" s="1"/>
  <c r="J476" i="21"/>
  <c r="I477" i="21"/>
  <c r="J477" i="21"/>
  <c r="I478" i="21"/>
  <c r="I479" i="21"/>
  <c r="J479" i="21" s="1"/>
  <c r="I481" i="21"/>
  <c r="J481" i="21" s="1"/>
  <c r="G476" i="21"/>
  <c r="I476" i="21" s="1"/>
  <c r="F476" i="21"/>
  <c r="I473" i="21"/>
  <c r="J473" i="21" s="1"/>
  <c r="I474" i="21"/>
  <c r="J474" i="21" s="1"/>
  <c r="I475" i="21"/>
  <c r="J475" i="21" s="1"/>
  <c r="H472" i="21"/>
  <c r="I472" i="21"/>
  <c r="J472" i="21" s="1"/>
  <c r="F472" i="21"/>
  <c r="I469" i="21"/>
  <c r="J469" i="21"/>
  <c r="I470" i="21"/>
  <c r="J470" i="21" s="1"/>
  <c r="I471" i="21"/>
  <c r="J471" i="21" s="1"/>
  <c r="G468" i="21"/>
  <c r="F468" i="21"/>
  <c r="G419" i="21"/>
  <c r="F419" i="21"/>
  <c r="I467" i="21"/>
  <c r="J467" i="21"/>
  <c r="I462" i="21"/>
  <c r="J462" i="21"/>
  <c r="I463" i="21"/>
  <c r="J463" i="21"/>
  <c r="I464" i="21"/>
  <c r="J464" i="21"/>
  <c r="I465" i="21"/>
  <c r="J465" i="21"/>
  <c r="I466" i="21"/>
  <c r="J466" i="21"/>
  <c r="H461" i="21"/>
  <c r="H460" i="21"/>
  <c r="I460" i="21" s="1"/>
  <c r="J460" i="21" s="1"/>
  <c r="I461" i="21"/>
  <c r="J461" i="21"/>
  <c r="H459" i="21"/>
  <c r="I459" i="21"/>
  <c r="J459" i="21" s="1"/>
  <c r="F459" i="21"/>
  <c r="I456" i="21"/>
  <c r="J456" i="21" s="1"/>
  <c r="I455" i="21"/>
  <c r="J455" i="21"/>
  <c r="I454" i="21"/>
  <c r="J454" i="21" s="1"/>
  <c r="I453" i="21"/>
  <c r="J453" i="21"/>
  <c r="I452" i="21"/>
  <c r="J452" i="21" s="1"/>
  <c r="I451" i="21"/>
  <c r="J451" i="21"/>
  <c r="I450" i="21"/>
  <c r="J450" i="21" s="1"/>
  <c r="H448" i="21"/>
  <c r="I448" i="21"/>
  <c r="J448" i="21"/>
  <c r="H444" i="21"/>
  <c r="I444" i="21" s="1"/>
  <c r="F444" i="21"/>
  <c r="I443" i="21"/>
  <c r="J443" i="21"/>
  <c r="I445" i="21"/>
  <c r="J445" i="21"/>
  <c r="I446" i="21"/>
  <c r="J446" i="21"/>
  <c r="I447" i="21"/>
  <c r="J447" i="21"/>
  <c r="I449" i="21"/>
  <c r="J449" i="21"/>
  <c r="G442" i="21"/>
  <c r="I442" i="21"/>
  <c r="F442" i="21"/>
  <c r="I441" i="21"/>
  <c r="J441" i="21" s="1"/>
  <c r="I440" i="21"/>
  <c r="J440" i="21"/>
  <c r="I439" i="21"/>
  <c r="J439" i="21" s="1"/>
  <c r="I437" i="21"/>
  <c r="J437" i="21" s="1"/>
  <c r="I438" i="21"/>
  <c r="J438" i="21" s="1"/>
  <c r="H436" i="21"/>
  <c r="I436" i="21"/>
  <c r="I431" i="21"/>
  <c r="J431" i="21" s="1"/>
  <c r="I432" i="21"/>
  <c r="J432" i="21" s="1"/>
  <c r="I433" i="21"/>
  <c r="J433" i="21" s="1"/>
  <c r="I434" i="21"/>
  <c r="J434" i="21"/>
  <c r="I435" i="21"/>
  <c r="J435" i="21" s="1"/>
  <c r="H430" i="21"/>
  <c r="I430" i="21" s="1"/>
  <c r="J430" i="21"/>
  <c r="H429" i="21"/>
  <c r="I429" i="21"/>
  <c r="F429" i="21"/>
  <c r="F428" i="21"/>
  <c r="G425" i="21"/>
  <c r="F425" i="21"/>
  <c r="I420" i="21"/>
  <c r="J420" i="21"/>
  <c r="I421" i="21"/>
  <c r="J421" i="21"/>
  <c r="I422" i="21"/>
  <c r="J422" i="21"/>
  <c r="I423" i="21"/>
  <c r="J423" i="21"/>
  <c r="I424" i="21"/>
  <c r="J424" i="21"/>
  <c r="I426" i="21"/>
  <c r="J426" i="21"/>
  <c r="I427" i="21"/>
  <c r="J427" i="21"/>
  <c r="I428" i="21"/>
  <c r="J428" i="21"/>
  <c r="H391" i="21"/>
  <c r="H386" i="21"/>
  <c r="I386" i="21" s="1"/>
  <c r="J386" i="21" s="1"/>
  <c r="I417" i="21"/>
  <c r="J417" i="21" s="1"/>
  <c r="I418" i="21"/>
  <c r="J418" i="21"/>
  <c r="F416" i="21"/>
  <c r="G416" i="21"/>
  <c r="F415" i="21"/>
  <c r="G415" i="21"/>
  <c r="I415" i="21" s="1"/>
  <c r="F414" i="21"/>
  <c r="G414" i="21"/>
  <c r="I414" i="21" s="1"/>
  <c r="I412" i="21"/>
  <c r="J412" i="21" s="1"/>
  <c r="I413" i="21"/>
  <c r="J413" i="21" s="1"/>
  <c r="H411" i="21"/>
  <c r="I411" i="21" s="1"/>
  <c r="J411" i="21" s="1"/>
  <c r="G410" i="21"/>
  <c r="I410" i="21" s="1"/>
  <c r="F410" i="21"/>
  <c r="G407" i="21"/>
  <c r="I407" i="21"/>
  <c r="J407" i="21" s="1"/>
  <c r="F407" i="21"/>
  <c r="H404" i="21"/>
  <c r="I404" i="21"/>
  <c r="J404" i="21" s="1"/>
  <c r="I405" i="21"/>
  <c r="J405" i="21" s="1"/>
  <c r="I406" i="21"/>
  <c r="J406" i="21"/>
  <c r="I408" i="21"/>
  <c r="J408" i="21" s="1"/>
  <c r="I409" i="21"/>
  <c r="J409" i="21" s="1"/>
  <c r="H403" i="21"/>
  <c r="I403" i="21" s="1"/>
  <c r="J403" i="21" s="1"/>
  <c r="F399" i="21"/>
  <c r="G399" i="21"/>
  <c r="I399" i="21" s="1"/>
  <c r="I396" i="21"/>
  <c r="J396" i="21" s="1"/>
  <c r="I397" i="21"/>
  <c r="J397" i="21" s="1"/>
  <c r="I398" i="21"/>
  <c r="J398" i="21"/>
  <c r="I400" i="21"/>
  <c r="J400" i="21" s="1"/>
  <c r="I401" i="21"/>
  <c r="J401" i="21" s="1"/>
  <c r="I402" i="21"/>
  <c r="J402" i="21" s="1"/>
  <c r="I395" i="21"/>
  <c r="J395" i="21"/>
  <c r="G393" i="21"/>
  <c r="I393" i="21" s="1"/>
  <c r="F393" i="21"/>
  <c r="F391" i="21"/>
  <c r="G391" i="21"/>
  <c r="H390" i="21"/>
  <c r="I390" i="21"/>
  <c r="J390" i="21" s="1"/>
  <c r="I392" i="21"/>
  <c r="J392" i="21" s="1"/>
  <c r="I394" i="21"/>
  <c r="J394" i="21"/>
  <c r="I389" i="21"/>
  <c r="J389" i="21" s="1"/>
  <c r="G387" i="21"/>
  <c r="I387" i="21" s="1"/>
  <c r="F387" i="21"/>
  <c r="F386" i="21"/>
  <c r="F385" i="21"/>
  <c r="G385" i="21"/>
  <c r="I385" i="21"/>
  <c r="I388" i="21"/>
  <c r="J388" i="21"/>
  <c r="I384" i="21"/>
  <c r="J384" i="21" s="1"/>
  <c r="I382" i="21"/>
  <c r="J382" i="21" s="1"/>
  <c r="G381" i="21"/>
  <c r="I381" i="21" s="1"/>
  <c r="F381" i="21"/>
  <c r="F378" i="21"/>
  <c r="F377" i="21"/>
  <c r="G377" i="21"/>
  <c r="F375" i="21"/>
  <c r="G375" i="21"/>
  <c r="F374" i="21"/>
  <c r="G374" i="21"/>
  <c r="I374" i="21"/>
  <c r="I373" i="21"/>
  <c r="J373" i="21" s="1"/>
  <c r="I376" i="21"/>
  <c r="J376" i="21"/>
  <c r="I378" i="21"/>
  <c r="J378" i="21" s="1"/>
  <c r="I379" i="21"/>
  <c r="J379" i="21"/>
  <c r="I380" i="21"/>
  <c r="J380" i="21" s="1"/>
  <c r="F372" i="21"/>
  <c r="G372" i="21"/>
  <c r="I372" i="21" s="1"/>
  <c r="G371" i="21"/>
  <c r="F371" i="21"/>
  <c r="G370" i="21"/>
  <c r="I370" i="21" s="1"/>
  <c r="F370" i="21"/>
  <c r="G368" i="21"/>
  <c r="F368" i="21"/>
  <c r="I367" i="21"/>
  <c r="J367" i="21"/>
  <c r="I369" i="21"/>
  <c r="J369" i="21"/>
  <c r="F366" i="21"/>
  <c r="G366" i="21"/>
  <c r="I366" i="21" s="1"/>
  <c r="I365" i="21"/>
  <c r="J365" i="21" s="1"/>
  <c r="G364" i="21"/>
  <c r="F364" i="21"/>
  <c r="F360" i="21"/>
  <c r="G360" i="21"/>
  <c r="I360" i="21" s="1"/>
  <c r="I361" i="21"/>
  <c r="J361" i="21" s="1"/>
  <c r="I362" i="21"/>
  <c r="J362" i="21" s="1"/>
  <c r="I363" i="21"/>
  <c r="J363" i="21"/>
  <c r="G359" i="21"/>
  <c r="I359" i="21" s="1"/>
  <c r="F359" i="21"/>
  <c r="I358" i="21"/>
  <c r="J358" i="21"/>
  <c r="F355" i="21"/>
  <c r="G355" i="21"/>
  <c r="I355" i="21" s="1"/>
  <c r="F354" i="21"/>
  <c r="H354" i="21"/>
  <c r="G354" i="21"/>
  <c r="I357" i="21"/>
  <c r="J357" i="21"/>
  <c r="I356" i="21"/>
  <c r="J356" i="21"/>
  <c r="F353" i="21"/>
  <c r="G353" i="21"/>
  <c r="I353" i="21" s="1"/>
  <c r="H330" i="21"/>
  <c r="I330" i="21"/>
  <c r="J330" i="21" s="1"/>
  <c r="H352" i="21"/>
  <c r="F352" i="21"/>
  <c r="I351" i="21"/>
  <c r="J351" i="21" s="1"/>
  <c r="I352" i="21"/>
  <c r="J352" i="21"/>
  <c r="G350" i="21"/>
  <c r="F350" i="21"/>
  <c r="G349" i="21"/>
  <c r="I349" i="21"/>
  <c r="J349" i="21"/>
  <c r="F349" i="21"/>
  <c r="G348" i="21"/>
  <c r="I348" i="21"/>
  <c r="J348" i="21"/>
  <c r="F348" i="21"/>
  <c r="G347" i="21"/>
  <c r="I347" i="21"/>
  <c r="F347" i="21"/>
  <c r="G346" i="21"/>
  <c r="I346" i="21" s="1"/>
  <c r="F346" i="21"/>
  <c r="I344" i="21"/>
  <c r="J344" i="21"/>
  <c r="I345" i="21"/>
  <c r="J345" i="21"/>
  <c r="H343" i="21"/>
  <c r="I343" i="21"/>
  <c r="J343" i="21" s="1"/>
  <c r="H342" i="21"/>
  <c r="G341" i="21"/>
  <c r="I341" i="21" s="1"/>
  <c r="F341" i="21"/>
  <c r="H340" i="21"/>
  <c r="I340" i="21"/>
  <c r="J340" i="21" s="1"/>
  <c r="F340" i="21"/>
  <c r="I338" i="21"/>
  <c r="J338" i="21"/>
  <c r="I339" i="21"/>
  <c r="J339" i="21" s="1"/>
  <c r="I342" i="21"/>
  <c r="J342" i="21" s="1"/>
  <c r="H337" i="21"/>
  <c r="I337" i="21" s="1"/>
  <c r="J337" i="21" s="1"/>
  <c r="F337" i="21"/>
  <c r="I336" i="21"/>
  <c r="J336" i="21"/>
  <c r="I335" i="21"/>
  <c r="J335" i="21"/>
  <c r="G334" i="21"/>
  <c r="F334" i="21"/>
  <c r="G333" i="21"/>
  <c r="I333" i="21"/>
  <c r="F333" i="21"/>
  <c r="H331" i="21"/>
  <c r="I331" i="21" s="1"/>
  <c r="J331" i="21"/>
  <c r="I332" i="21"/>
  <c r="J332" i="21"/>
  <c r="F330" i="21"/>
  <c r="I329" i="21"/>
  <c r="J329" i="21" s="1"/>
  <c r="I328" i="21"/>
  <c r="J328" i="21" s="1"/>
  <c r="I327" i="21"/>
  <c r="J327" i="21" s="1"/>
  <c r="I326" i="21"/>
  <c r="J326" i="21" s="1"/>
  <c r="I325" i="21"/>
  <c r="J325" i="21" s="1"/>
  <c r="G323" i="21"/>
  <c r="I323" i="21" s="1"/>
  <c r="F323" i="21"/>
  <c r="I320" i="21"/>
  <c r="J320" i="21"/>
  <c r="I321" i="21"/>
  <c r="J321" i="21"/>
  <c r="I322" i="21"/>
  <c r="J322" i="21"/>
  <c r="I324" i="21"/>
  <c r="J324" i="21"/>
  <c r="H319" i="21"/>
  <c r="I319" i="21"/>
  <c r="J319" i="21" s="1"/>
  <c r="G314" i="21"/>
  <c r="I314" i="21" s="1"/>
  <c r="J314" i="21" s="1"/>
  <c r="F314" i="21"/>
  <c r="I313" i="21"/>
  <c r="J313" i="21" s="1"/>
  <c r="I315" i="21"/>
  <c r="J315" i="21"/>
  <c r="I316" i="21"/>
  <c r="J316" i="21"/>
  <c r="I317" i="21"/>
  <c r="J317" i="21"/>
  <c r="I318" i="21"/>
  <c r="J318" i="21"/>
  <c r="I312" i="21"/>
  <c r="J312" i="21"/>
  <c r="G310" i="21"/>
  <c r="I310" i="21"/>
  <c r="J310" i="21" s="1"/>
  <c r="F310" i="21"/>
  <c r="H308" i="21"/>
  <c r="I308" i="21"/>
  <c r="J308" i="21" s="1"/>
  <c r="I309" i="21"/>
  <c r="J309" i="21" s="1"/>
  <c r="I311" i="21"/>
  <c r="J311" i="21" s="1"/>
  <c r="G307" i="21"/>
  <c r="I307" i="21" s="1"/>
  <c r="J307" i="21" s="1"/>
  <c r="F307" i="21"/>
  <c r="I306" i="21"/>
  <c r="J306" i="21"/>
  <c r="G304" i="21"/>
  <c r="F304" i="21"/>
  <c r="H303" i="21"/>
  <c r="I303" i="21"/>
  <c r="J303" i="21" s="1"/>
  <c r="I297" i="21"/>
  <c r="J297" i="21" s="1"/>
  <c r="I298" i="21"/>
  <c r="J298" i="21" s="1"/>
  <c r="I299" i="21"/>
  <c r="J299" i="21" s="1"/>
  <c r="I300" i="21"/>
  <c r="J300" i="21" s="1"/>
  <c r="I301" i="21"/>
  <c r="J301" i="21" s="1"/>
  <c r="I302" i="21"/>
  <c r="J302" i="21" s="1"/>
  <c r="I305" i="21"/>
  <c r="J305" i="21" s="1"/>
  <c r="G296" i="21"/>
  <c r="I296" i="21" s="1"/>
  <c r="F296" i="21"/>
  <c r="G295" i="21"/>
  <c r="I295" i="21"/>
  <c r="F295" i="21"/>
  <c r="H294" i="21"/>
  <c r="I294" i="21" s="1"/>
  <c r="J294" i="21" s="1"/>
  <c r="I292" i="21"/>
  <c r="J292" i="21"/>
  <c r="I293" i="21"/>
  <c r="J293" i="21"/>
  <c r="G291" i="21"/>
  <c r="I291" i="21"/>
  <c r="J291" i="21" s="1"/>
  <c r="F291" i="21"/>
  <c r="G289" i="21"/>
  <c r="I289" i="21"/>
  <c r="F289" i="21"/>
  <c r="H288" i="21"/>
  <c r="I288" i="21" s="1"/>
  <c r="J288" i="21"/>
  <c r="I285" i="21"/>
  <c r="J285" i="21"/>
  <c r="I286" i="21"/>
  <c r="J286" i="21"/>
  <c r="I287" i="21"/>
  <c r="J287" i="21"/>
  <c r="I290" i="21"/>
  <c r="J290" i="21"/>
  <c r="F284" i="21"/>
  <c r="G284" i="21"/>
  <c r="G283" i="21"/>
  <c r="F283" i="21"/>
  <c r="G282" i="21"/>
  <c r="F282" i="21"/>
  <c r="G281" i="21"/>
  <c r="F281" i="21"/>
  <c r="I280" i="21"/>
  <c r="J280" i="21"/>
  <c r="G279" i="21"/>
  <c r="I279" i="21"/>
  <c r="J279" i="21" s="1"/>
  <c r="F279" i="21"/>
  <c r="G278" i="21"/>
  <c r="F278" i="21"/>
  <c r="G277" i="21"/>
  <c r="I277" i="21" s="1"/>
  <c r="F277" i="21"/>
  <c r="G276" i="21"/>
  <c r="I276" i="21"/>
  <c r="F276" i="21"/>
  <c r="G275" i="21"/>
  <c r="I275" i="21" s="1"/>
  <c r="F275" i="21"/>
  <c r="G274" i="21"/>
  <c r="I274" i="21"/>
  <c r="F274" i="21"/>
  <c r="G273" i="21"/>
  <c r="I273" i="21" s="1"/>
  <c r="F273" i="21"/>
  <c r="G272" i="21"/>
  <c r="I272" i="21"/>
  <c r="F272" i="21"/>
  <c r="G271" i="21"/>
  <c r="I271" i="21" s="1"/>
  <c r="F271" i="21"/>
  <c r="G270" i="21"/>
  <c r="I270" i="21"/>
  <c r="F270" i="21"/>
  <c r="G269" i="21"/>
  <c r="F269" i="21"/>
  <c r="G268" i="21"/>
  <c r="I268" i="21" s="1"/>
  <c r="F268" i="21"/>
  <c r="G267" i="21"/>
  <c r="I267" i="21" s="1"/>
  <c r="F267" i="21"/>
  <c r="G266" i="21"/>
  <c r="I266" i="21"/>
  <c r="F266" i="21"/>
  <c r="I265" i="21"/>
  <c r="G265" i="21"/>
  <c r="J265" i="21" s="1"/>
  <c r="F265" i="21"/>
  <c r="G264" i="21"/>
  <c r="I264" i="21" s="1"/>
  <c r="F264" i="21"/>
  <c r="G263" i="21"/>
  <c r="I263" i="21"/>
  <c r="F263" i="21"/>
  <c r="G262" i="21"/>
  <c r="F262" i="21"/>
  <c r="I261" i="21"/>
  <c r="J261" i="21" s="1"/>
  <c r="I260" i="21"/>
  <c r="J260" i="21" s="1"/>
  <c r="I259" i="21"/>
  <c r="J259" i="21" s="1"/>
  <c r="G258" i="21"/>
  <c r="F258" i="21"/>
  <c r="I257" i="21"/>
  <c r="J257" i="21" s="1"/>
  <c r="I256" i="21"/>
  <c r="J256" i="21" s="1"/>
  <c r="G255" i="21"/>
  <c r="F255" i="21"/>
  <c r="G254" i="21"/>
  <c r="F254" i="21"/>
  <c r="G253" i="21"/>
  <c r="F253" i="21"/>
  <c r="H252" i="21"/>
  <c r="I252" i="21" s="1"/>
  <c r="J252" i="21" s="1"/>
  <c r="H251" i="21"/>
  <c r="I251" i="21"/>
  <c r="J251" i="21" s="1"/>
  <c r="I250" i="21"/>
  <c r="J250" i="21" s="1"/>
  <c r="I249" i="21"/>
  <c r="J249" i="21" s="1"/>
  <c r="G248" i="21"/>
  <c r="I248" i="21" s="1"/>
  <c r="F248" i="21"/>
  <c r="G247" i="21"/>
  <c r="F247" i="21"/>
  <c r="I246" i="21"/>
  <c r="J246" i="21"/>
  <c r="G245" i="21"/>
  <c r="F245" i="21"/>
  <c r="G244" i="21"/>
  <c r="F244" i="21"/>
  <c r="G243" i="21"/>
  <c r="F243" i="21"/>
  <c r="I242" i="21"/>
  <c r="J242" i="21"/>
  <c r="F241" i="21"/>
  <c r="G241" i="21"/>
  <c r="I241" i="21" s="1"/>
  <c r="I240" i="21"/>
  <c r="J240" i="21" s="1"/>
  <c r="I239" i="21"/>
  <c r="J239" i="21" s="1"/>
  <c r="I238" i="21"/>
  <c r="J238" i="21" s="1"/>
  <c r="I237" i="21"/>
  <c r="J237" i="21" s="1"/>
  <c r="I236" i="21"/>
  <c r="J236" i="21" s="1"/>
  <c r="I235" i="21"/>
  <c r="J235" i="21" s="1"/>
  <c r="I234" i="21"/>
  <c r="J234" i="21" s="1"/>
  <c r="I233" i="21"/>
  <c r="J233" i="21" s="1"/>
  <c r="I232" i="21"/>
  <c r="J232" i="21" s="1"/>
  <c r="I231" i="21"/>
  <c r="J231" i="21" s="1"/>
  <c r="I230" i="21"/>
  <c r="J230" i="21" s="1"/>
  <c r="I229" i="21"/>
  <c r="J229" i="21" s="1"/>
  <c r="I228" i="21"/>
  <c r="J228" i="21" s="1"/>
  <c r="I227" i="21"/>
  <c r="J227" i="21" s="1"/>
  <c r="I226" i="21"/>
  <c r="J226" i="21" s="1"/>
  <c r="I225" i="21"/>
  <c r="J225" i="21" s="1"/>
  <c r="H224" i="21"/>
  <c r="I224" i="21" s="1"/>
  <c r="J224" i="21"/>
  <c r="I223" i="21"/>
  <c r="J223" i="21"/>
  <c r="G222" i="21"/>
  <c r="I222" i="21"/>
  <c r="F222" i="21"/>
  <c r="G221" i="21"/>
  <c r="I221" i="21" s="1"/>
  <c r="J221" i="21"/>
  <c r="F221" i="21"/>
  <c r="F220" i="21"/>
  <c r="G220" i="21"/>
  <c r="I220" i="21"/>
  <c r="J220" i="21" s="1"/>
  <c r="F219" i="21"/>
  <c r="G219" i="21"/>
  <c r="I219" i="21"/>
  <c r="F218" i="21"/>
  <c r="G218" i="21"/>
  <c r="I218" i="21" s="1"/>
  <c r="I217" i="21"/>
  <c r="J217" i="21" s="1"/>
  <c r="O45" i="21"/>
  <c r="O7" i="21"/>
  <c r="G193" i="21"/>
  <c r="F193" i="21"/>
  <c r="H192" i="21"/>
  <c r="I192" i="21" s="1"/>
  <c r="J192" i="21"/>
  <c r="G191" i="21"/>
  <c r="I191" i="21" s="1"/>
  <c r="J191" i="21" s="1"/>
  <c r="F191" i="21"/>
  <c r="G190" i="21"/>
  <c r="F190" i="21"/>
  <c r="G189" i="21"/>
  <c r="F189" i="21"/>
  <c r="G186" i="21"/>
  <c r="F186" i="21"/>
  <c r="G185" i="21"/>
  <c r="J185" i="21" s="1"/>
  <c r="F185" i="21"/>
  <c r="I195" i="21"/>
  <c r="J195" i="21"/>
  <c r="I196" i="21"/>
  <c r="J196" i="21"/>
  <c r="I197" i="21"/>
  <c r="J197" i="21"/>
  <c r="G214" i="21"/>
  <c r="I214" i="21" s="1"/>
  <c r="F214" i="21"/>
  <c r="G211" i="21"/>
  <c r="F211" i="21"/>
  <c r="G209" i="21"/>
  <c r="I209" i="21"/>
  <c r="F209" i="21"/>
  <c r="I184" i="21"/>
  <c r="J184" i="21" s="1"/>
  <c r="I185" i="21"/>
  <c r="I187" i="21"/>
  <c r="J187" i="21"/>
  <c r="I188" i="21"/>
  <c r="J188" i="21"/>
  <c r="I194" i="21"/>
  <c r="J194" i="21"/>
  <c r="I198" i="21"/>
  <c r="J198" i="21"/>
  <c r="I199" i="21"/>
  <c r="J199" i="21"/>
  <c r="I200" i="21"/>
  <c r="J200" i="21"/>
  <c r="I201" i="21"/>
  <c r="J201" i="21"/>
  <c r="I202" i="21"/>
  <c r="J202" i="21"/>
  <c r="I203" i="21"/>
  <c r="J203" i="21"/>
  <c r="I204" i="21"/>
  <c r="J204" i="21"/>
  <c r="I205" i="21"/>
  <c r="J205" i="21"/>
  <c r="I206" i="21"/>
  <c r="J206" i="21"/>
  <c r="I207" i="21"/>
  <c r="J207" i="21"/>
  <c r="I208" i="21"/>
  <c r="J208" i="21"/>
  <c r="I210" i="21"/>
  <c r="J210" i="21"/>
  <c r="I212" i="21"/>
  <c r="J212" i="21"/>
  <c r="I213" i="21"/>
  <c r="J213" i="21"/>
  <c r="I215" i="21"/>
  <c r="J215" i="21"/>
  <c r="I216" i="21"/>
  <c r="J216" i="21"/>
  <c r="G183" i="21"/>
  <c r="I183" i="21"/>
  <c r="F183" i="21"/>
  <c r="G182" i="21"/>
  <c r="I182" i="21" s="1"/>
  <c r="J182" i="21"/>
  <c r="F182" i="21"/>
  <c r="G180" i="21"/>
  <c r="I180" i="21" s="1"/>
  <c r="F180" i="21"/>
  <c r="Q493" i="21"/>
  <c r="P493" i="21"/>
  <c r="I179" i="21"/>
  <c r="J179" i="21"/>
  <c r="I181" i="21"/>
  <c r="J181" i="21"/>
  <c r="I178" i="21"/>
  <c r="J178" i="21"/>
  <c r="I177" i="21"/>
  <c r="J177" i="21"/>
  <c r="G176" i="21"/>
  <c r="I176" i="21"/>
  <c r="F176" i="21"/>
  <c r="G175" i="21"/>
  <c r="I175" i="21" s="1"/>
  <c r="F175" i="21"/>
  <c r="G173" i="21"/>
  <c r="F173" i="21"/>
  <c r="G172" i="21"/>
  <c r="F172" i="21"/>
  <c r="G171" i="21"/>
  <c r="I171" i="21"/>
  <c r="J171" i="21" s="1"/>
  <c r="F171" i="21"/>
  <c r="G170" i="21"/>
  <c r="I170" i="21"/>
  <c r="J170" i="21" s="1"/>
  <c r="F170" i="21"/>
  <c r="G169" i="21"/>
  <c r="I169" i="21"/>
  <c r="J169" i="21" s="1"/>
  <c r="F169" i="21"/>
  <c r="G168" i="21"/>
  <c r="I168" i="21"/>
  <c r="F168" i="21"/>
  <c r="G167" i="21"/>
  <c r="I167" i="21" s="1"/>
  <c r="F167" i="21"/>
  <c r="G166" i="21"/>
  <c r="I166" i="21"/>
  <c r="F166" i="21"/>
  <c r="G165" i="21"/>
  <c r="F165" i="21"/>
  <c r="G164" i="21"/>
  <c r="I164" i="21"/>
  <c r="F164" i="21"/>
  <c r="H162" i="21"/>
  <c r="I162" i="21" s="1"/>
  <c r="J162" i="21"/>
  <c r="G160" i="21"/>
  <c r="I160" i="21"/>
  <c r="F160" i="21"/>
  <c r="I159" i="21"/>
  <c r="J159" i="21" s="1"/>
  <c r="I161" i="21"/>
  <c r="J161" i="21" s="1"/>
  <c r="I163" i="21"/>
  <c r="J163" i="21" s="1"/>
  <c r="I174" i="21"/>
  <c r="J174" i="21" s="1"/>
  <c r="G158" i="21"/>
  <c r="I158" i="21" s="1"/>
  <c r="F158" i="21"/>
  <c r="G157" i="21"/>
  <c r="I157" i="21" s="1"/>
  <c r="F157" i="21"/>
  <c r="I155" i="21"/>
  <c r="J155" i="21"/>
  <c r="I156" i="21"/>
  <c r="J156" i="21"/>
  <c r="G154" i="21"/>
  <c r="F154" i="21"/>
  <c r="I153" i="21"/>
  <c r="J153" i="21"/>
  <c r="G151" i="21"/>
  <c r="I151" i="21"/>
  <c r="F151" i="21"/>
  <c r="G149" i="21"/>
  <c r="I149" i="21" s="1"/>
  <c r="F149" i="21"/>
  <c r="G148" i="21"/>
  <c r="I148" i="21" s="1"/>
  <c r="J148" i="21"/>
  <c r="F148" i="21"/>
  <c r="G147" i="21"/>
  <c r="I147" i="21" s="1"/>
  <c r="J147" i="21"/>
  <c r="F147" i="21"/>
  <c r="G146" i="21"/>
  <c r="I146" i="21" s="1"/>
  <c r="F146" i="21"/>
  <c r="G145" i="21"/>
  <c r="I145" i="21" s="1"/>
  <c r="F145" i="21"/>
  <c r="G144" i="21"/>
  <c r="I144" i="21"/>
  <c r="F144" i="21"/>
  <c r="G143" i="21"/>
  <c r="I143" i="21" s="1"/>
  <c r="F143" i="21"/>
  <c r="G142" i="21"/>
  <c r="F142" i="21"/>
  <c r="G141" i="21"/>
  <c r="F141" i="21"/>
  <c r="G140" i="21"/>
  <c r="I140" i="21"/>
  <c r="F140" i="21"/>
  <c r="G139" i="21"/>
  <c r="F139" i="21"/>
  <c r="G138" i="21"/>
  <c r="I138" i="21" s="1"/>
  <c r="J138" i="21"/>
  <c r="F138" i="21"/>
  <c r="I150" i="21"/>
  <c r="J150" i="21"/>
  <c r="I152" i="21"/>
  <c r="J152" i="21"/>
  <c r="G137" i="21"/>
  <c r="F137" i="21"/>
  <c r="H136" i="21"/>
  <c r="I136" i="21"/>
  <c r="J136" i="21" s="1"/>
  <c r="G135" i="21"/>
  <c r="F135" i="21"/>
  <c r="G134" i="21"/>
  <c r="I134" i="21" s="1"/>
  <c r="J134" i="21"/>
  <c r="F134" i="21"/>
  <c r="G133" i="21"/>
  <c r="I133" i="21" s="1"/>
  <c r="F133" i="21"/>
  <c r="F132" i="21"/>
  <c r="G132" i="21"/>
  <c r="I132" i="21"/>
  <c r="G130" i="21"/>
  <c r="F130" i="21"/>
  <c r="G129" i="21"/>
  <c r="I129" i="21" s="1"/>
  <c r="J129" i="21"/>
  <c r="F129" i="21"/>
  <c r="G128" i="21"/>
  <c r="F128" i="21"/>
  <c r="I131" i="21"/>
  <c r="J131" i="21" s="1"/>
  <c r="G127" i="21"/>
  <c r="I127" i="21" s="1"/>
  <c r="F127" i="21"/>
  <c r="I126" i="21"/>
  <c r="J126" i="21"/>
  <c r="I125" i="21"/>
  <c r="J125" i="21"/>
  <c r="G124" i="21"/>
  <c r="I124" i="21"/>
  <c r="F124" i="21"/>
  <c r="I123" i="21"/>
  <c r="J123" i="21"/>
  <c r="I122" i="21"/>
  <c r="J122" i="21"/>
  <c r="G120" i="21"/>
  <c r="F120" i="21"/>
  <c r="G119" i="21"/>
  <c r="F119" i="21"/>
  <c r="G117" i="21"/>
  <c r="J117" i="21" s="1"/>
  <c r="I117" i="21"/>
  <c r="F117" i="21"/>
  <c r="F116" i="21"/>
  <c r="G116" i="21"/>
  <c r="I116" i="21" s="1"/>
  <c r="J116" i="21" s="1"/>
  <c r="G114" i="21"/>
  <c r="I114" i="21"/>
  <c r="F114" i="21"/>
  <c r="G113" i="21"/>
  <c r="F113" i="21"/>
  <c r="G112" i="21"/>
  <c r="F112" i="21"/>
  <c r="G111" i="21"/>
  <c r="F111" i="21"/>
  <c r="G110" i="21"/>
  <c r="F110" i="21"/>
  <c r="G109" i="21"/>
  <c r="I109" i="21" s="1"/>
  <c r="J109" i="21" s="1"/>
  <c r="F109" i="21"/>
  <c r="G108" i="21"/>
  <c r="F108" i="21"/>
  <c r="G107" i="21"/>
  <c r="F107" i="21"/>
  <c r="H105" i="21"/>
  <c r="I105" i="21"/>
  <c r="J105" i="21" s="1"/>
  <c r="G104" i="21"/>
  <c r="F104" i="21"/>
  <c r="G103" i="21"/>
  <c r="F103" i="21"/>
  <c r="I115" i="21"/>
  <c r="J115" i="21" s="1"/>
  <c r="I106" i="21"/>
  <c r="J106" i="21"/>
  <c r="I121" i="21"/>
  <c r="J121" i="21" s="1"/>
  <c r="I87" i="21"/>
  <c r="J87" i="21"/>
  <c r="H75" i="21"/>
  <c r="G73" i="21"/>
  <c r="F73" i="21"/>
  <c r="F69" i="21"/>
  <c r="G69" i="21"/>
  <c r="I69" i="21" s="1"/>
  <c r="J69" i="21" s="1"/>
  <c r="G67" i="21"/>
  <c r="I67" i="21"/>
  <c r="J67" i="21"/>
  <c r="F67" i="21"/>
  <c r="G66" i="21"/>
  <c r="J66" i="21" s="1"/>
  <c r="F66" i="21"/>
  <c r="G64" i="21"/>
  <c r="J64" i="21" s="1"/>
  <c r="F64" i="21"/>
  <c r="H60" i="21"/>
  <c r="G59" i="21"/>
  <c r="I59" i="21"/>
  <c r="F59" i="21"/>
  <c r="G58" i="21"/>
  <c r="F58" i="21"/>
  <c r="G57" i="21"/>
  <c r="J57" i="21" s="1"/>
  <c r="F57" i="21"/>
  <c r="G55" i="21"/>
  <c r="F55" i="21"/>
  <c r="G54" i="21"/>
  <c r="F54" i="21"/>
  <c r="G53" i="21"/>
  <c r="I53" i="21"/>
  <c r="J53" i="21" s="1"/>
  <c r="F53" i="21"/>
  <c r="G52" i="21"/>
  <c r="F52" i="21"/>
  <c r="G51" i="21"/>
  <c r="F51" i="21"/>
  <c r="G50" i="21"/>
  <c r="F50" i="21"/>
  <c r="I48" i="21"/>
  <c r="J48" i="21" s="1"/>
  <c r="G47" i="21"/>
  <c r="F47" i="21"/>
  <c r="G46" i="21"/>
  <c r="I46" i="21" s="1"/>
  <c r="F46" i="21"/>
  <c r="G45" i="21"/>
  <c r="F45" i="21"/>
  <c r="I43" i="21"/>
  <c r="J43" i="21" s="1"/>
  <c r="I42" i="21"/>
  <c r="J42" i="21"/>
  <c r="I41" i="21"/>
  <c r="J41" i="21" s="1"/>
  <c r="I40" i="21"/>
  <c r="J40" i="21"/>
  <c r="I39" i="21"/>
  <c r="J39" i="21" s="1"/>
  <c r="I38" i="21"/>
  <c r="J38" i="21"/>
  <c r="H37" i="21"/>
  <c r="H493" i="21" s="1"/>
  <c r="G36" i="21"/>
  <c r="I36" i="21"/>
  <c r="J36" i="21" s="1"/>
  <c r="F36" i="21"/>
  <c r="I35" i="21"/>
  <c r="J35" i="21"/>
  <c r="F34" i="21"/>
  <c r="G34" i="21"/>
  <c r="I34" i="21"/>
  <c r="J34" i="21"/>
  <c r="G33" i="21"/>
  <c r="I33" i="21" s="1"/>
  <c r="F33" i="21"/>
  <c r="G32" i="21"/>
  <c r="I32" i="21"/>
  <c r="J32" i="21" s="1"/>
  <c r="F32" i="21"/>
  <c r="F31" i="21"/>
  <c r="G31" i="21"/>
  <c r="J31" i="21" s="1"/>
  <c r="I31" i="21"/>
  <c r="H30" i="21"/>
  <c r="I30" i="21"/>
  <c r="J30" i="21"/>
  <c r="F27" i="21"/>
  <c r="G27" i="21"/>
  <c r="F26" i="21"/>
  <c r="G26" i="21"/>
  <c r="H25" i="21"/>
  <c r="I25" i="21"/>
  <c r="J25" i="21"/>
  <c r="F23" i="21"/>
  <c r="G23" i="21"/>
  <c r="F20" i="21"/>
  <c r="G20" i="21"/>
  <c r="F19" i="21"/>
  <c r="G19" i="21"/>
  <c r="I19" i="21"/>
  <c r="F18" i="21"/>
  <c r="G18" i="21"/>
  <c r="I18" i="21"/>
  <c r="J18" i="21"/>
  <c r="F17" i="21"/>
  <c r="G17" i="21"/>
  <c r="F16" i="21"/>
  <c r="G16" i="21"/>
  <c r="J16" i="21" s="1"/>
  <c r="I16" i="21"/>
  <c r="G15" i="21"/>
  <c r="F15" i="21"/>
  <c r="F14" i="21"/>
  <c r="G14" i="21"/>
  <c r="F13" i="21"/>
  <c r="G13" i="21"/>
  <c r="F12" i="21"/>
  <c r="G12" i="21"/>
  <c r="I12" i="21"/>
  <c r="J12" i="21"/>
  <c r="F11" i="21"/>
  <c r="G11" i="21"/>
  <c r="G10" i="21"/>
  <c r="F10" i="21"/>
  <c r="F9" i="21"/>
  <c r="G9" i="21"/>
  <c r="F7" i="21"/>
  <c r="H7" i="21"/>
  <c r="I7" i="21"/>
  <c r="J7" i="21" s="1"/>
  <c r="H2" i="21"/>
  <c r="I2" i="21" s="1"/>
  <c r="I96" i="21"/>
  <c r="J96" i="21"/>
  <c r="I95" i="21"/>
  <c r="J95" i="21"/>
  <c r="I94" i="21"/>
  <c r="J94" i="21"/>
  <c r="I97" i="21"/>
  <c r="J97" i="21"/>
  <c r="I93" i="21"/>
  <c r="J93" i="21"/>
  <c r="I80" i="21"/>
  <c r="J80" i="21"/>
  <c r="I78" i="21"/>
  <c r="J78" i="21"/>
  <c r="I24" i="21"/>
  <c r="J24" i="21"/>
  <c r="I119" i="21"/>
  <c r="J119" i="21" s="1"/>
  <c r="I118" i="21"/>
  <c r="J118" i="21" s="1"/>
  <c r="I102" i="21"/>
  <c r="J102" i="21"/>
  <c r="I101" i="21"/>
  <c r="J101" i="21" s="1"/>
  <c r="I100" i="21"/>
  <c r="J100" i="21"/>
  <c r="I99" i="21"/>
  <c r="J99" i="21" s="1"/>
  <c r="I98" i="21"/>
  <c r="J98" i="21"/>
  <c r="I92" i="21"/>
  <c r="J92" i="21" s="1"/>
  <c r="I91" i="21"/>
  <c r="J91" i="21"/>
  <c r="I90" i="21"/>
  <c r="J90" i="21" s="1"/>
  <c r="I89" i="21"/>
  <c r="J89" i="21"/>
  <c r="I88" i="21"/>
  <c r="J88" i="21" s="1"/>
  <c r="I86" i="21"/>
  <c r="J86" i="21"/>
  <c r="I85" i="21"/>
  <c r="J85" i="21" s="1"/>
  <c r="I84" i="21"/>
  <c r="J84" i="21"/>
  <c r="I83" i="21"/>
  <c r="J83" i="21" s="1"/>
  <c r="I82" i="21"/>
  <c r="J82" i="21"/>
  <c r="I81" i="21"/>
  <c r="J81" i="21" s="1"/>
  <c r="I79" i="21"/>
  <c r="J79" i="21"/>
  <c r="I77" i="21"/>
  <c r="J77" i="21" s="1"/>
  <c r="I76" i="21"/>
  <c r="J76" i="21"/>
  <c r="I75" i="21"/>
  <c r="J75" i="21" s="1"/>
  <c r="I74" i="21"/>
  <c r="J74" i="21"/>
  <c r="I72" i="21"/>
  <c r="J72" i="21" s="1"/>
  <c r="I71" i="21"/>
  <c r="J71" i="21"/>
  <c r="I70" i="21"/>
  <c r="J70" i="21" s="1"/>
  <c r="I68" i="21"/>
  <c r="J68" i="21"/>
  <c r="I66" i="21"/>
  <c r="I65" i="21"/>
  <c r="J65" i="21"/>
  <c r="I63" i="21"/>
  <c r="J63" i="21" s="1"/>
  <c r="I62" i="21"/>
  <c r="J62" i="21"/>
  <c r="I61" i="21"/>
  <c r="J61" i="21" s="1"/>
  <c r="I60" i="21"/>
  <c r="J60" i="21"/>
  <c r="I57" i="21"/>
  <c r="I49" i="21"/>
  <c r="J49" i="21"/>
  <c r="I44" i="21"/>
  <c r="J44" i="21" s="1"/>
  <c r="I29" i="21"/>
  <c r="J29" i="21"/>
  <c r="I28" i="21"/>
  <c r="J28" i="21" s="1"/>
  <c r="I22" i="21"/>
  <c r="J22" i="21"/>
  <c r="I21" i="21"/>
  <c r="J21" i="21" s="1"/>
  <c r="I15" i="21"/>
  <c r="J15" i="21"/>
  <c r="I11" i="21"/>
  <c r="J11" i="21" s="1"/>
  <c r="I3" i="21"/>
  <c r="J3" i="21"/>
  <c r="I4" i="21"/>
  <c r="J4" i="21"/>
  <c r="I5" i="21"/>
  <c r="J5" i="21"/>
  <c r="I6" i="21"/>
  <c r="J6" i="21"/>
  <c r="I9" i="21"/>
  <c r="I56" i="21"/>
  <c r="J56" i="21" s="1"/>
  <c r="I154" i="21"/>
  <c r="J154" i="21" s="1"/>
  <c r="I64" i="21"/>
  <c r="J140" i="21"/>
  <c r="J183" i="21"/>
  <c r="O493" i="21"/>
  <c r="J295" i="21"/>
  <c r="J289" i="21"/>
  <c r="I10" i="21"/>
  <c r="J10" i="21"/>
  <c r="J157" i="21"/>
  <c r="I172" i="21"/>
  <c r="J172" i="21"/>
  <c r="J168" i="21"/>
  <c r="I189" i="21"/>
  <c r="J189" i="21"/>
  <c r="J218" i="21"/>
  <c r="J248" i="21"/>
  <c r="I255" i="21"/>
  <c r="J255" i="21"/>
  <c r="I258" i="21"/>
  <c r="J258" i="21"/>
  <c r="I186" i="21"/>
  <c r="J186" i="21"/>
  <c r="J241" i="21"/>
  <c r="I247" i="21"/>
  <c r="J247" i="21"/>
  <c r="I254" i="21"/>
  <c r="J254" i="21" s="1"/>
  <c r="I284" i="21"/>
  <c r="J284" i="21"/>
  <c r="I304" i="21"/>
  <c r="J304" i="21" s="1"/>
  <c r="J333" i="21"/>
  <c r="I281" i="21"/>
  <c r="J281" i="21"/>
  <c r="J370" i="21"/>
  <c r="J360" i="21"/>
  <c r="J393" i="21"/>
  <c r="J374" i="21"/>
  <c r="J399" i="21"/>
  <c r="J415" i="21"/>
  <c r="J414" i="21"/>
  <c r="J429" i="21"/>
  <c r="J436" i="21"/>
  <c r="J444" i="21"/>
  <c r="I23" i="21"/>
  <c r="J23" i="21" s="1"/>
  <c r="J176" i="21"/>
  <c r="I334" i="21"/>
  <c r="J334" i="21"/>
  <c r="I364" i="21"/>
  <c r="J364" i="21"/>
  <c r="I104" i="21"/>
  <c r="J104" i="21" s="1"/>
  <c r="I368" i="21"/>
  <c r="J368" i="21"/>
  <c r="I58" i="21"/>
  <c r="J58" i="21" s="1"/>
  <c r="I141" i="21"/>
  <c r="J141" i="21"/>
  <c r="I165" i="21"/>
  <c r="J165" i="21" s="1"/>
  <c r="I173" i="21"/>
  <c r="J173" i="21"/>
  <c r="I193" i="21"/>
  <c r="J193" i="21" s="1"/>
  <c r="J175" i="21"/>
  <c r="I190" i="21"/>
  <c r="J190" i="21" s="1"/>
  <c r="J271" i="21"/>
  <c r="J275" i="21"/>
  <c r="J341" i="21"/>
  <c r="J372" i="21"/>
  <c r="J347" i="21"/>
  <c r="J273" i="21"/>
  <c r="J277" i="21"/>
  <c r="J346" i="21"/>
  <c r="I139" i="21"/>
  <c r="J139" i="21"/>
  <c r="I243" i="21"/>
  <c r="J243" i="21"/>
  <c r="I245" i="21"/>
  <c r="J245" i="21"/>
  <c r="J272" i="21"/>
  <c r="J276" i="21"/>
  <c r="J114" i="21"/>
  <c r="J127" i="21"/>
  <c r="I130" i="21"/>
  <c r="J130" i="21" s="1"/>
  <c r="J167" i="21"/>
  <c r="J222" i="21"/>
  <c r="I253" i="21"/>
  <c r="J253" i="21"/>
  <c r="I283" i="21"/>
  <c r="J283" i="21"/>
  <c r="I244" i="21"/>
  <c r="J244" i="21"/>
  <c r="J263" i="21"/>
  <c r="J270" i="21"/>
  <c r="J274" i="21"/>
  <c r="I278" i="21"/>
  <c r="J278" i="21"/>
  <c r="J214" i="21"/>
  <c r="I262" i="21"/>
  <c r="J262" i="21"/>
  <c r="I282" i="21"/>
  <c r="J282" i="21"/>
  <c r="I354" i="21"/>
  <c r="J354" i="21"/>
  <c r="J359" i="21"/>
  <c r="I371" i="21"/>
  <c r="J371" i="21" s="1"/>
  <c r="I377" i="21"/>
  <c r="J377" i="21"/>
  <c r="I375" i="21"/>
  <c r="J375" i="21" s="1"/>
  <c r="J381" i="21"/>
  <c r="I416" i="21"/>
  <c r="J416" i="21"/>
  <c r="I425" i="21"/>
  <c r="J425" i="21"/>
  <c r="I419" i="21"/>
  <c r="J419" i="21"/>
  <c r="J442" i="21"/>
  <c r="J353" i="21"/>
  <c r="J478" i="21"/>
  <c r="I13" i="21"/>
  <c r="J13" i="21" s="1"/>
  <c r="I14" i="21"/>
  <c r="J14" i="21"/>
  <c r="I17" i="21"/>
  <c r="J17" i="21" s="1"/>
  <c r="I120" i="21"/>
  <c r="J120" i="21"/>
  <c r="I128" i="21"/>
  <c r="J128" i="21" s="1"/>
  <c r="I135" i="21"/>
  <c r="J135" i="21"/>
  <c r="I142" i="21"/>
  <c r="J142" i="21" s="1"/>
  <c r="J268" i="21"/>
  <c r="J387" i="21"/>
  <c r="J164" i="21"/>
  <c r="J266" i="21"/>
  <c r="I73" i="21"/>
  <c r="J73" i="21"/>
  <c r="J209" i="21"/>
  <c r="J9" i="21"/>
  <c r="F493" i="21"/>
  <c r="I55" i="21"/>
  <c r="J55" i="21"/>
  <c r="J59" i="21"/>
  <c r="J145" i="21"/>
  <c r="J160" i="21"/>
  <c r="J323" i="21"/>
  <c r="J19" i="21"/>
  <c r="I27" i="21"/>
  <c r="J27" i="21"/>
  <c r="I45" i="21"/>
  <c r="I47" i="21"/>
  <c r="J47" i="21" s="1"/>
  <c r="I52" i="21"/>
  <c r="J52" i="21"/>
  <c r="I108" i="21"/>
  <c r="J108" i="21" s="1"/>
  <c r="I110" i="21"/>
  <c r="J110" i="21"/>
  <c r="I137" i="21"/>
  <c r="J137" i="21"/>
  <c r="J144" i="21"/>
  <c r="I211" i="21"/>
  <c r="J211" i="21" s="1"/>
  <c r="J151" i="21"/>
  <c r="J410" i="21"/>
  <c r="I350" i="21"/>
  <c r="J350" i="21" s="1"/>
  <c r="J219" i="21"/>
  <c r="J296" i="21"/>
  <c r="J355" i="21"/>
  <c r="J45" i="21"/>
  <c r="J486" i="21"/>
  <c r="J484" i="21"/>
  <c r="J371" i="32"/>
  <c r="J90" i="32"/>
  <c r="J257" i="32"/>
  <c r="J9" i="32"/>
  <c r="J199" i="32"/>
  <c r="I148" i="32"/>
  <c r="J148" i="32"/>
  <c r="I247" i="32"/>
  <c r="J247" i="32"/>
  <c r="J55" i="32"/>
  <c r="J112" i="32"/>
  <c r="J334" i="32"/>
  <c r="G493" i="32"/>
  <c r="J28" i="32"/>
  <c r="J125" i="32"/>
  <c r="J77" i="32"/>
  <c r="J399" i="32"/>
  <c r="J475" i="32"/>
  <c r="J287" i="32"/>
  <c r="J46" i="32"/>
  <c r="I129" i="32"/>
  <c r="J129" i="32" s="1"/>
  <c r="I192" i="32"/>
  <c r="J192" i="32" s="1"/>
  <c r="I97" i="32"/>
  <c r="J97" i="32" s="1"/>
  <c r="I53" i="32"/>
  <c r="J53" i="32" s="1"/>
  <c r="I120" i="32"/>
  <c r="J120" i="32" s="1"/>
  <c r="I40" i="32"/>
  <c r="J40" i="32" s="1"/>
  <c r="I331" i="32"/>
  <c r="J331" i="32" s="1"/>
  <c r="J261" i="32"/>
  <c r="I209" i="32"/>
  <c r="J209" i="32"/>
  <c r="I223" i="32"/>
  <c r="J223" i="32"/>
  <c r="I447" i="32"/>
  <c r="J447" i="32"/>
  <c r="I230" i="32"/>
  <c r="J230" i="32"/>
  <c r="I361" i="32"/>
  <c r="J361" i="32"/>
  <c r="I436" i="32"/>
  <c r="J436" i="32"/>
  <c r="I99" i="32"/>
  <c r="J99" i="32"/>
  <c r="I423" i="32"/>
  <c r="J423" i="32"/>
  <c r="I367" i="32"/>
  <c r="J367" i="32"/>
  <c r="I29" i="32"/>
  <c r="J29" i="32"/>
  <c r="J185" i="32"/>
  <c r="J141" i="32"/>
  <c r="J155" i="32"/>
  <c r="J57" i="32"/>
  <c r="I462" i="32"/>
  <c r="J462" i="32"/>
  <c r="I420" i="32"/>
  <c r="J420" i="32"/>
  <c r="I32" i="32"/>
  <c r="J32" i="32"/>
  <c r="I43" i="32"/>
  <c r="J43" i="32"/>
  <c r="J201" i="32"/>
  <c r="J105" i="32"/>
  <c r="J147" i="32"/>
  <c r="J66" i="32"/>
  <c r="J263" i="32"/>
  <c r="J472" i="32"/>
  <c r="J179" i="32"/>
  <c r="J430" i="32"/>
  <c r="J202" i="32"/>
  <c r="J449" i="32"/>
  <c r="J262" i="32"/>
  <c r="J62" i="32"/>
  <c r="J83" i="32"/>
  <c r="J360" i="32"/>
  <c r="J282" i="32"/>
  <c r="I259" i="32"/>
  <c r="J259" i="32" s="1"/>
  <c r="I314" i="32"/>
  <c r="J314" i="32" s="1"/>
  <c r="I451" i="32"/>
  <c r="J451" i="32" s="1"/>
  <c r="I2" i="32"/>
  <c r="J2" i="32" s="1"/>
  <c r="I300" i="32"/>
  <c r="J300" i="32" s="1"/>
  <c r="I393" i="32"/>
  <c r="J393" i="32" s="1"/>
  <c r="I124" i="32"/>
  <c r="J124" i="32" s="1"/>
  <c r="I421" i="32"/>
  <c r="J421" i="32" s="1"/>
  <c r="I338" i="32"/>
  <c r="J338" i="32" s="1"/>
  <c r="I396" i="32"/>
  <c r="J396" i="32" s="1"/>
  <c r="I431" i="32"/>
  <c r="J431" i="32" s="1"/>
  <c r="J93" i="32"/>
  <c r="I407" i="32"/>
  <c r="J407" i="32"/>
  <c r="J328" i="32"/>
  <c r="I26" i="32"/>
  <c r="J26" i="32" s="1"/>
  <c r="J183" i="32"/>
  <c r="I180" i="32"/>
  <c r="J180" i="32"/>
  <c r="J222" i="32"/>
  <c r="I225" i="32"/>
  <c r="J225" i="32" s="1"/>
  <c r="I307" i="32"/>
  <c r="J307" i="32" s="1"/>
  <c r="J116" i="32"/>
  <c r="I432" i="32"/>
  <c r="J432" i="32"/>
  <c r="I163" i="32"/>
  <c r="J163" i="32"/>
  <c r="J460" i="32"/>
  <c r="J200" i="32"/>
  <c r="I8" i="32"/>
  <c r="J8" i="32"/>
  <c r="I426" i="32"/>
  <c r="J426" i="32"/>
  <c r="I171" i="32"/>
  <c r="J171" i="32"/>
  <c r="I5" i="32"/>
  <c r="J5" i="32"/>
  <c r="I67" i="32"/>
  <c r="J67" i="32"/>
  <c r="I343" i="32"/>
  <c r="J343" i="32"/>
  <c r="J323" i="32"/>
  <c r="I41" i="32"/>
  <c r="J41" i="32" s="1"/>
  <c r="I348" i="32"/>
  <c r="J348" i="32" s="1"/>
  <c r="I39" i="32"/>
  <c r="J39" i="32" s="1"/>
  <c r="I454" i="32"/>
  <c r="J454" i="32" s="1"/>
  <c r="I10" i="32"/>
  <c r="J10" i="32" s="1"/>
  <c r="I52" i="32"/>
  <c r="J52" i="32" s="1"/>
  <c r="I297" i="32"/>
  <c r="J297" i="32" s="1"/>
  <c r="I326" i="32"/>
  <c r="J326" i="32" s="1"/>
  <c r="J434" i="31"/>
  <c r="O493" i="31"/>
  <c r="I86" i="31"/>
  <c r="J86" i="31" s="1"/>
  <c r="I411" i="31"/>
  <c r="J411" i="31" s="1"/>
  <c r="I412" i="31"/>
  <c r="I413" i="31"/>
  <c r="J413" i="31"/>
  <c r="I171" i="31"/>
  <c r="J171" i="31"/>
  <c r="I172" i="31"/>
  <c r="J172" i="31"/>
  <c r="I434" i="31"/>
  <c r="I32" i="31"/>
  <c r="J32" i="31" s="1"/>
  <c r="I33" i="31"/>
  <c r="J33" i="31" s="1"/>
  <c r="I34" i="31"/>
  <c r="J34" i="31" s="1"/>
  <c r="I35" i="31"/>
  <c r="J35" i="31" s="1"/>
  <c r="I36" i="31"/>
  <c r="J36" i="31" s="1"/>
  <c r="I37" i="31"/>
  <c r="J37" i="31" s="1"/>
  <c r="I38" i="31"/>
  <c r="J38" i="31" s="1"/>
  <c r="I39" i="31"/>
  <c r="J39" i="31" s="1"/>
  <c r="I244" i="31"/>
  <c r="J244" i="31" s="1"/>
  <c r="I245" i="31"/>
  <c r="J245" i="31" s="1"/>
  <c r="I191" i="31"/>
  <c r="J191" i="31" s="1"/>
  <c r="I77" i="31"/>
  <c r="J77" i="31" s="1"/>
  <c r="I266" i="31"/>
  <c r="J266" i="31" s="1"/>
  <c r="J269" i="31"/>
  <c r="J110" i="31"/>
  <c r="I52" i="31"/>
  <c r="J52" i="31" s="1"/>
  <c r="I280" i="31"/>
  <c r="J280" i="31" s="1"/>
  <c r="I21" i="31"/>
  <c r="J21" i="31" s="1"/>
  <c r="I451" i="31"/>
  <c r="J451" i="31" s="1"/>
  <c r="J301" i="31"/>
  <c r="J305" i="31"/>
  <c r="J256" i="31"/>
  <c r="J285" i="31"/>
  <c r="J80" i="31"/>
  <c r="J53" i="31"/>
  <c r="J98" i="31"/>
  <c r="J208" i="31"/>
  <c r="J210" i="31"/>
  <c r="J212" i="31"/>
  <c r="J15" i="31"/>
  <c r="J8" i="31"/>
  <c r="J429" i="31"/>
  <c r="J463" i="31"/>
  <c r="J9" i="31"/>
  <c r="J169" i="31"/>
  <c r="J469" i="31"/>
  <c r="J470" i="31"/>
  <c r="J249" i="31"/>
  <c r="J476" i="31"/>
  <c r="J41" i="31"/>
  <c r="J400" i="31"/>
  <c r="J478" i="31"/>
  <c r="J44" i="31"/>
  <c r="J251" i="31"/>
  <c r="J252" i="31"/>
  <c r="J189" i="31"/>
  <c r="J190" i="31"/>
  <c r="J259" i="31"/>
  <c r="J260" i="31"/>
  <c r="J261" i="31"/>
  <c r="J263" i="31"/>
  <c r="J299" i="31"/>
  <c r="J264" i="31"/>
  <c r="J306" i="31"/>
  <c r="I198" i="31"/>
  <c r="J198" i="31"/>
  <c r="J109" i="31"/>
  <c r="I436" i="31"/>
  <c r="J436" i="31" s="1"/>
  <c r="J108" i="31"/>
  <c r="I7" i="31"/>
  <c r="J7" i="31"/>
  <c r="I29" i="31"/>
  <c r="J29" i="31"/>
  <c r="I426" i="31"/>
  <c r="J426" i="31"/>
  <c r="I427" i="31"/>
  <c r="J427" i="31"/>
  <c r="I173" i="31"/>
  <c r="J173" i="31"/>
  <c r="I247" i="31"/>
  <c r="J247" i="31"/>
  <c r="I248" i="31"/>
  <c r="J248" i="31"/>
  <c r="I10" i="31"/>
  <c r="J10" i="31"/>
  <c r="I253" i="31"/>
  <c r="J253" i="31"/>
  <c r="I437" i="31"/>
  <c r="J437" i="31"/>
  <c r="I314" i="31"/>
  <c r="J314" i="31"/>
  <c r="J300" i="31"/>
  <c r="J303" i="31"/>
  <c r="I195" i="31"/>
  <c r="J195" i="31" s="1"/>
  <c r="I407" i="31"/>
  <c r="J407" i="31" s="1"/>
  <c r="I204" i="31"/>
  <c r="J204" i="31" s="1"/>
  <c r="I205" i="31"/>
  <c r="J205" i="31" s="1"/>
  <c r="I281" i="31"/>
  <c r="J281" i="31" s="1"/>
  <c r="I60" i="31"/>
  <c r="J60" i="31" s="1"/>
  <c r="I282" i="31"/>
  <c r="J282" i="31" s="1"/>
  <c r="I111" i="31"/>
  <c r="J111" i="31" s="1"/>
  <c r="I207" i="31"/>
  <c r="J207" i="31" s="1"/>
  <c r="I345" i="31"/>
  <c r="J345" i="31" s="1"/>
  <c r="I372" i="31"/>
  <c r="J372" i="31" s="1"/>
  <c r="I453" i="31"/>
  <c r="J453" i="31" s="1"/>
  <c r="J162" i="32"/>
  <c r="J272" i="32"/>
  <c r="J309" i="32"/>
  <c r="J7" i="32"/>
  <c r="I394" i="32"/>
  <c r="J394" i="32" s="1"/>
  <c r="H493" i="32"/>
  <c r="I383" i="32"/>
  <c r="J383" i="32"/>
  <c r="I187" i="32"/>
  <c r="J187" i="32"/>
  <c r="I23" i="32"/>
  <c r="J23" i="32" s="1"/>
  <c r="I73" i="32"/>
  <c r="J73" i="32" s="1"/>
  <c r="F493" i="32"/>
  <c r="I211" i="32"/>
  <c r="J211" i="32"/>
  <c r="I374" i="32"/>
  <c r="J374" i="32"/>
  <c r="J98" i="32"/>
  <c r="I278" i="32"/>
  <c r="J278" i="32" s="1"/>
  <c r="I327" i="32"/>
  <c r="J327" i="32" s="1"/>
  <c r="I403" i="32"/>
  <c r="J403" i="32" s="1"/>
  <c r="I450" i="32"/>
  <c r="J450" i="32" s="1"/>
  <c r="I375" i="32"/>
  <c r="J375" i="32" s="1"/>
  <c r="J286" i="32"/>
  <c r="J127" i="32"/>
  <c r="J354" i="32"/>
  <c r="J288" i="32"/>
  <c r="J299" i="32"/>
  <c r="J54" i="32"/>
  <c r="J270" i="32"/>
  <c r="J387" i="32"/>
  <c r="J121" i="32"/>
  <c r="J118" i="32"/>
  <c r="J137" i="32"/>
  <c r="J33" i="32"/>
  <c r="J285" i="32"/>
  <c r="J479" i="32"/>
  <c r="J228" i="32"/>
  <c r="J358" i="31"/>
  <c r="J235" i="31"/>
  <c r="J236" i="31"/>
  <c r="J164" i="31"/>
  <c r="J76" i="31"/>
  <c r="J430" i="31"/>
  <c r="J455" i="31"/>
  <c r="J457" i="31"/>
  <c r="J459" i="31"/>
  <c r="J461" i="31"/>
  <c r="I358" i="31"/>
  <c r="J42" i="31"/>
  <c r="J99" i="31"/>
  <c r="J291" i="31"/>
  <c r="I302" i="31"/>
  <c r="J302" i="31"/>
  <c r="J304" i="31"/>
  <c r="H493" i="31"/>
  <c r="J483" i="31"/>
  <c r="I307" i="31"/>
  <c r="J307" i="31" s="1"/>
  <c r="J309" i="31"/>
  <c r="I309" i="31"/>
  <c r="J102" i="31"/>
  <c r="J101" i="31"/>
  <c r="I308" i="31"/>
  <c r="J308" i="31" s="1"/>
  <c r="I193" i="31"/>
  <c r="J447" i="31"/>
  <c r="J61" i="31"/>
  <c r="J193" i="31"/>
  <c r="J2" i="21" l="1"/>
  <c r="J20" i="21"/>
  <c r="J103" i="21"/>
  <c r="J269" i="21"/>
  <c r="J107" i="21"/>
  <c r="I467" i="31"/>
  <c r="J467" i="31" s="1"/>
  <c r="I111" i="21"/>
  <c r="J111" i="21" s="1"/>
  <c r="I391" i="21"/>
  <c r="J391" i="21" s="1"/>
  <c r="I20" i="21"/>
  <c r="J264" i="21"/>
  <c r="J180" i="21"/>
  <c r="I26" i="21"/>
  <c r="J26" i="21" s="1"/>
  <c r="I37" i="21"/>
  <c r="J37" i="21" s="1"/>
  <c r="I50" i="21"/>
  <c r="J50" i="21" s="1"/>
  <c r="I51" i="21"/>
  <c r="J51" i="21" s="1"/>
  <c r="I54" i="21"/>
  <c r="J54" i="21" s="1"/>
  <c r="I103" i="21"/>
  <c r="I107" i="21"/>
  <c r="I112" i="21"/>
  <c r="J112" i="21" s="1"/>
  <c r="I113" i="21"/>
  <c r="J113" i="21" s="1"/>
  <c r="J146" i="21"/>
  <c r="J158" i="21"/>
  <c r="J3" i="31"/>
  <c r="J5" i="31"/>
  <c r="I5" i="31"/>
  <c r="I475" i="31"/>
  <c r="J475" i="31" s="1"/>
  <c r="J232" i="31"/>
  <c r="I232" i="31"/>
  <c r="I460" i="31"/>
  <c r="J460" i="31"/>
  <c r="J477" i="31"/>
  <c r="I477" i="31"/>
  <c r="I296" i="31"/>
  <c r="J296" i="31"/>
  <c r="J46" i="21"/>
  <c r="I269" i="21"/>
  <c r="J133" i="21"/>
  <c r="J149" i="21"/>
  <c r="J33" i="21"/>
  <c r="J124" i="21"/>
  <c r="J132" i="21"/>
  <c r="J166" i="21"/>
  <c r="J4" i="31"/>
  <c r="I4" i="31"/>
  <c r="I474" i="31"/>
  <c r="J474" i="31" s="1"/>
  <c r="J231" i="31"/>
  <c r="I231" i="31"/>
  <c r="I484" i="31"/>
  <c r="J484" i="31" s="1"/>
  <c r="I237" i="31"/>
  <c r="J237" i="31" s="1"/>
  <c r="I468" i="21"/>
  <c r="J468" i="21" s="1"/>
  <c r="I2" i="31"/>
  <c r="J2" i="31"/>
  <c r="G493" i="21"/>
  <c r="J143" i="21"/>
  <c r="I163" i="31"/>
  <c r="J163" i="31"/>
  <c r="J267" i="21"/>
  <c r="J366" i="21"/>
  <c r="J412" i="31"/>
  <c r="J168" i="31"/>
  <c r="I168" i="31"/>
  <c r="I323" i="31"/>
  <c r="J323" i="31"/>
  <c r="J175" i="31"/>
  <c r="I176" i="31"/>
  <c r="J176" i="31"/>
  <c r="I225" i="31"/>
  <c r="J225" i="31" s="1"/>
  <c r="J425" i="31"/>
  <c r="J6" i="31"/>
  <c r="J230" i="31"/>
  <c r="J30" i="31"/>
  <c r="J431" i="31"/>
  <c r="I431" i="31"/>
  <c r="I243" i="31"/>
  <c r="J243" i="31"/>
  <c r="J468" i="31"/>
  <c r="I468" i="31"/>
  <c r="I68" i="31"/>
  <c r="J68" i="31" s="1"/>
  <c r="J255" i="31"/>
  <c r="I255" i="31"/>
  <c r="I54" i="31"/>
  <c r="J54" i="31" s="1"/>
  <c r="J385" i="21"/>
  <c r="I229" i="31"/>
  <c r="J229" i="31" s="1"/>
  <c r="I6" i="31"/>
  <c r="I317" i="31"/>
  <c r="J317" i="31" s="1"/>
  <c r="I454" i="31"/>
  <c r="J454" i="31" s="1"/>
  <c r="J242" i="31"/>
  <c r="J14" i="31"/>
  <c r="I450" i="31"/>
  <c r="J450" i="31"/>
  <c r="J112" i="31"/>
  <c r="J405" i="31"/>
  <c r="J12" i="31"/>
  <c r="J200" i="31"/>
  <c r="J444" i="31"/>
  <c r="J70" i="32"/>
  <c r="J290" i="31"/>
  <c r="J76" i="32"/>
  <c r="I111" i="32"/>
  <c r="J111" i="32" s="1"/>
  <c r="J289" i="32"/>
  <c r="J456" i="32"/>
  <c r="I70" i="32"/>
  <c r="J69" i="32"/>
  <c r="J142" i="32"/>
  <c r="J264" i="32"/>
  <c r="I324" i="32"/>
  <c r="J324" i="32"/>
  <c r="J427" i="32"/>
  <c r="I47" i="32"/>
  <c r="I493" i="32" s="1"/>
  <c r="J345" i="32"/>
  <c r="I493" i="31" l="1"/>
  <c r="J47" i="32"/>
  <c r="I493" i="21"/>
</calcChain>
</file>

<file path=xl/sharedStrings.xml><?xml version="1.0" encoding="utf-8"?>
<sst xmlns="http://schemas.openxmlformats.org/spreadsheetml/2006/main" count="12460" uniqueCount="1441">
  <si>
    <t>REPORT NO.</t>
  </si>
  <si>
    <t>CHANGE      $</t>
  </si>
  <si>
    <t>CHANGE      %</t>
  </si>
  <si>
    <t>Thru FY</t>
  </si>
  <si>
    <t>TOTALS</t>
  </si>
  <si>
    <t>TYPE</t>
  </si>
  <si>
    <t>DEPT.</t>
  </si>
  <si>
    <t>VENDOR</t>
  </si>
  <si>
    <t>SCOPE</t>
  </si>
  <si>
    <t>1153 $</t>
  </si>
  <si>
    <t>ORIG $</t>
  </si>
  <si>
    <t>TOTAL $</t>
  </si>
  <si>
    <t>COMP Y/N</t>
  </si>
  <si>
    <t>AGREEMENT/     PR   NO.</t>
  </si>
  <si>
    <t>FY13</t>
  </si>
  <si>
    <t>FY14</t>
  </si>
  <si>
    <t>Fed. Funds</t>
  </si>
  <si>
    <t>Maintenance &amp; Engineering</t>
  </si>
  <si>
    <t>Office of the General Counsel</t>
  </si>
  <si>
    <t>Procurement</t>
  </si>
  <si>
    <t>BART Police</t>
  </si>
  <si>
    <t>Government &amp; Community Relations</t>
  </si>
  <si>
    <t>Gilbert &amp; Associates</t>
  </si>
  <si>
    <t>Luella Nelson</t>
  </si>
  <si>
    <t>William Riker</t>
  </si>
  <si>
    <t>Aiken &amp; Welch</t>
  </si>
  <si>
    <t>Human Resources Labor Relations</t>
  </si>
  <si>
    <t>Ricoh Corporation</t>
  </si>
  <si>
    <t>Ace Courier Express</t>
  </si>
  <si>
    <t>Joseph Gentile</t>
  </si>
  <si>
    <t>Jerilou Cossack</t>
  </si>
  <si>
    <t>Christopher Burdick</t>
  </si>
  <si>
    <t>Wilma Rader</t>
  </si>
  <si>
    <t xml:space="preserve">Provide arbitration services by a Consultant chosen pursuant to the District’s collective bargaining agreement requirements. </t>
  </si>
  <si>
    <t>Provide arbitration services by a Consultant chosen pursuant to the District’s collective bargaining agreement requirements.</t>
  </si>
  <si>
    <t xml:space="preserve">Provide arbitration services by a Consultant chosen pursuant to the District’s collective bargaining agreement requirements.  </t>
  </si>
  <si>
    <t>C</t>
  </si>
  <si>
    <t>N</t>
  </si>
  <si>
    <t>California Department of Industrial Relations</t>
  </si>
  <si>
    <t>Information Technology</t>
  </si>
  <si>
    <t>Rolling Stock &amp; Shops</t>
  </si>
  <si>
    <t>TBD</t>
  </si>
  <si>
    <t>Y</t>
  </si>
  <si>
    <t>Cancelled</t>
  </si>
  <si>
    <t xml:space="preserve">Provide services to install vehicle coupler bushings.  </t>
  </si>
  <si>
    <t>Transportation</t>
  </si>
  <si>
    <t>Communications</t>
  </si>
  <si>
    <t>Drafting &amp; Configuration Control</t>
  </si>
  <si>
    <t>Marketing &amp; Research</t>
  </si>
  <si>
    <t>Office of Civil Rights</t>
  </si>
  <si>
    <t>Customer Access</t>
  </si>
  <si>
    <t>Edgar Oliver Trust</t>
  </si>
  <si>
    <t>Printeam</t>
  </si>
  <si>
    <t>San Francisco Business Times</t>
  </si>
  <si>
    <t>Tridecs Corporation</t>
  </si>
  <si>
    <t>Vidtek Associates, Inc.</t>
  </si>
  <si>
    <t>BCH Manufacturing Company</t>
  </si>
  <si>
    <t>Patrick Boland</t>
  </si>
  <si>
    <t>Robert Lockhart</t>
  </si>
  <si>
    <t>eLock Technologies</t>
  </si>
  <si>
    <t>SLG Printing</t>
  </si>
  <si>
    <t>Knorr Brake</t>
  </si>
  <si>
    <t xml:space="preserve">Provide printing and production services in support of District projects.  </t>
  </si>
  <si>
    <t xml:space="preserve">Provide services for repair and replacement of revenue vehicle brake components. </t>
  </si>
  <si>
    <t>M</t>
  </si>
  <si>
    <t>Treasury</t>
  </si>
  <si>
    <t>Systems Engineering</t>
  </si>
  <si>
    <t>System Safety</t>
  </si>
  <si>
    <t>Dataway, Inc.</t>
  </si>
  <si>
    <t>N/A</t>
  </si>
  <si>
    <t>Mark Jones</t>
  </si>
  <si>
    <t>Ripple Effect Media</t>
  </si>
  <si>
    <t>Planning</t>
  </si>
  <si>
    <t>The Demarcus Group</t>
  </si>
  <si>
    <t>Lohnes &amp; Wright</t>
  </si>
  <si>
    <t>Real Estate Services</t>
  </si>
  <si>
    <t>Human Resources</t>
  </si>
  <si>
    <t>Les Freligh</t>
  </si>
  <si>
    <t>1 EDI Source</t>
  </si>
  <si>
    <t>Provide services to assist in the identification and implementation of a work program for the District Surveyor.</t>
  </si>
  <si>
    <t>Operating Budgets</t>
  </si>
  <si>
    <t>RS2Energy</t>
  </si>
  <si>
    <t>Cision</t>
  </si>
  <si>
    <t>Commerce Printing</t>
  </si>
  <si>
    <t>Datasafe</t>
  </si>
  <si>
    <t>All American Elevator Company</t>
  </si>
  <si>
    <t>Pacific Park Management</t>
  </si>
  <si>
    <t>Group Alpha</t>
  </si>
  <si>
    <t>Fong &amp; Fong Printers</t>
  </si>
  <si>
    <t>Yuri Moreno</t>
  </si>
  <si>
    <t>Amanda Martin</t>
  </si>
  <si>
    <t>Datasplice</t>
  </si>
  <si>
    <t>Systems Maintenance</t>
  </si>
  <si>
    <t>Daktronics</t>
  </si>
  <si>
    <t>Stericycle</t>
  </si>
  <si>
    <t>Fred D'Orazio</t>
  </si>
  <si>
    <t>Modern Express Courier</t>
  </si>
  <si>
    <t>Glynn &amp; Finley, LLP</t>
  </si>
  <si>
    <t>Payne Fitness Health &amp; Wellness</t>
  </si>
  <si>
    <t>Cubic Transportation Systems, Inc.</t>
  </si>
  <si>
    <t>Khae Saetern</t>
  </si>
  <si>
    <t xml:space="preserve">Provide consulting services to support the effort to maintain BART’s Enterprise Geographic Information System (GIS). </t>
  </si>
  <si>
    <t>Stevens Consulting</t>
  </si>
  <si>
    <t>Pursuit North</t>
  </si>
  <si>
    <t>IMG College LLC</t>
  </si>
  <si>
    <t>FY15</t>
  </si>
  <si>
    <t>Suttech Inc.</t>
  </si>
  <si>
    <t>Solem &amp; Associates</t>
  </si>
  <si>
    <t>Web Master Designs, LLC</t>
  </si>
  <si>
    <t xml:space="preserve">Provide services for the translation of written documents required by the Office of Civil Rights EEO staff for Compliance of Title VI Regulations. </t>
  </si>
  <si>
    <t>Provide consulting services to review policies, communications and procedures regarding the absence management program.</t>
  </si>
  <si>
    <t>International Contact</t>
  </si>
  <si>
    <t>Kela Parris</t>
  </si>
  <si>
    <t>Sunny Express</t>
  </si>
  <si>
    <t>Diego Enriquez Maldonado</t>
  </si>
  <si>
    <t xml:space="preserve">Provide consulting services to assist staff with management of data storage and trouble analysis issues.  </t>
  </si>
  <si>
    <t>Global Knowledge</t>
  </si>
  <si>
    <t>Colortone</t>
  </si>
  <si>
    <t>Amcom</t>
  </si>
  <si>
    <t>Bay Area Floor Machine</t>
  </si>
  <si>
    <t>Sacval Janitorial Supply</t>
  </si>
  <si>
    <t>Belaire Displays</t>
  </si>
  <si>
    <t>Treasurer of Alameda County</t>
  </si>
  <si>
    <t>Tech Tu Business Solutions</t>
  </si>
  <si>
    <t>Office of the District Secretary</t>
  </si>
  <si>
    <t>Energy Department</t>
  </si>
  <si>
    <t>13-01-01</t>
  </si>
  <si>
    <t>13-01-02</t>
  </si>
  <si>
    <t>Provide services to convene and facilitate the Ridership Team to implement the Ridership Development Plans and marketing campaigns.</t>
  </si>
  <si>
    <t>Provide software to assist the District in generating an Asset Management Plan.</t>
  </si>
  <si>
    <t>Institute of Public Works Engineers of Australia</t>
  </si>
  <si>
    <t>MKT13-006</t>
  </si>
  <si>
    <t>13-02-01</t>
  </si>
  <si>
    <t>13-02-02</t>
  </si>
  <si>
    <t>13-02-03</t>
  </si>
  <si>
    <t>13-02-04</t>
  </si>
  <si>
    <t xml:space="preserve">Provide service to publish legal advertisements and notices required to carry out the business of the District. </t>
  </si>
  <si>
    <t xml:space="preserve">Provide consulting services to support PeopleSoft transitional tasks for Financials, Maximo and reports.  </t>
  </si>
  <si>
    <t xml:space="preserve">Provide software to support measuring and managing maintenance performance in association with goals of the SMP. </t>
  </si>
  <si>
    <t xml:space="preserve">Provide service to develop procedures and business practices related to the Maximo system.  </t>
  </si>
  <si>
    <t>Daily Journal</t>
  </si>
  <si>
    <t>Intueor Consulting, Inc.</t>
  </si>
  <si>
    <t xml:space="preserve">Oracle </t>
  </si>
  <si>
    <t>Richard Rounke</t>
  </si>
  <si>
    <t>13-03-01</t>
  </si>
  <si>
    <t>13-04-01</t>
  </si>
  <si>
    <t>13-04-02</t>
  </si>
  <si>
    <t>13-04-03</t>
  </si>
  <si>
    <t>13-04-04</t>
  </si>
  <si>
    <t>13-04-05</t>
  </si>
  <si>
    <t>13-04-06</t>
  </si>
  <si>
    <t>13-04-07</t>
  </si>
  <si>
    <t>13-04-08</t>
  </si>
  <si>
    <t>13-04-09</t>
  </si>
  <si>
    <t>13-04-10</t>
  </si>
  <si>
    <t>13-04-11</t>
  </si>
  <si>
    <t>13-04-12</t>
  </si>
  <si>
    <t>13-04-13</t>
  </si>
  <si>
    <t>13-04-14</t>
  </si>
  <si>
    <t>13-04-15</t>
  </si>
  <si>
    <t>13-04-16</t>
  </si>
  <si>
    <t>13-04-17</t>
  </si>
  <si>
    <t>13-04-18</t>
  </si>
  <si>
    <t>13-04-19</t>
  </si>
  <si>
    <t>13-04-20</t>
  </si>
  <si>
    <t>13-04-21</t>
  </si>
  <si>
    <t>13-04-22</t>
  </si>
  <si>
    <t>13-04-23</t>
  </si>
  <si>
    <t>13-04-24</t>
  </si>
  <si>
    <t>13-04-25</t>
  </si>
  <si>
    <t>13-04-26</t>
  </si>
  <si>
    <t>13-04-27</t>
  </si>
  <si>
    <t>13-04-28</t>
  </si>
  <si>
    <t>13-04-29</t>
  </si>
  <si>
    <t>Provide booking and processing services for arrest of suspects believed to have committed crimes.</t>
  </si>
  <si>
    <t xml:space="preserve">Provide service for the processing of fingerprinting records as a part of the District’s security measures.  </t>
  </si>
  <si>
    <t>Provide laboratory services in support of criminal investigations.</t>
  </si>
  <si>
    <t xml:space="preserve">Provide booking and processing services for arrest of suspects believed to have committed crimes.  </t>
  </si>
  <si>
    <t>Provide on-call maintenance and repair services for  two waste water treatment facilities located in the Concord and the Richmond Yards.</t>
  </si>
  <si>
    <t>Provide services to repair and maintain floor scrubber machines.</t>
  </si>
  <si>
    <t xml:space="preserve">Provide services to repair and maintain floor scrubber machines. </t>
  </si>
  <si>
    <t xml:space="preserve">Provide laboratory services in support of criminal investigations. </t>
  </si>
  <si>
    <t xml:space="preserve">Provide services to repair and maintain destination signs.  </t>
  </si>
  <si>
    <t xml:space="preserve">Provide services to repair and upgrade services for train control circuit boards.  </t>
  </si>
  <si>
    <t xml:space="preserve">Provide services to repair and maintain tunnel lighting inverters used at SFO.  </t>
  </si>
  <si>
    <t>Provide expert services regarding the Dispute Resolution Board hearings for Contract 15PM-110.</t>
  </si>
  <si>
    <t xml:space="preserve">Provide moving services for various locations throughout the District. </t>
  </si>
  <si>
    <t xml:space="preserve">Provide maintenance services for Attala Products used to transmit debit/credit transaction data. </t>
  </si>
  <si>
    <t xml:space="preserve">Provide printing services for the BARTimes Newsletter for distribution to stations and other organizations. </t>
  </si>
  <si>
    <t xml:space="preserve">Provide consulting services to conduct market research and project evaluation support. </t>
  </si>
  <si>
    <t xml:space="preserve">Provide armored car services for pick-up and delivery of BART revenues from fare media purchases. </t>
  </si>
  <si>
    <t xml:space="preserve">Provide creative and production management services for the preparation of marketing collateral for various campaigns.  </t>
  </si>
  <si>
    <t xml:space="preserve">Provide services to develop a new “BARTable” sub-web site to replace the former “myBART” site.  </t>
  </si>
  <si>
    <t xml:space="preserve">Provide delivery services for the BARTimes Newsletters to BART stations. </t>
  </si>
  <si>
    <t xml:space="preserve">Provide bilingual consulting capability to address Title VI and New Rail car issues during community outreach activities. </t>
  </si>
  <si>
    <t xml:space="preserve">Provide consulting services in support of Title VI and community outreach activities. </t>
  </si>
  <si>
    <t>Provide courier services for pick-up and delivery of checks and other sensitive documents.</t>
  </si>
  <si>
    <t xml:space="preserve">Provide services to maintain and repair fax machines throughout the District. </t>
  </si>
  <si>
    <t xml:space="preserve">Provide financial rating data and ownership information for businesses entering contract relationships with the District.  </t>
  </si>
  <si>
    <t xml:space="preserve">Provide creative and production coordination services for the preparation of marketing collateral for various campaigns. </t>
  </si>
  <si>
    <t xml:space="preserve">Provide maintenance training services for Police Canines. </t>
  </si>
  <si>
    <t xml:space="preserve">Provide graphic design services for the production of the “Learn BART” booklet available to persons with limited English proficiency.  </t>
  </si>
  <si>
    <t xml:space="preserve">Provide the lease of a large format printer for use by the Drafting and Configuration Control Division. </t>
  </si>
  <si>
    <t>City of Hayward Bookings</t>
  </si>
  <si>
    <t>California Department of Justice</t>
  </si>
  <si>
    <t>CCC Forensic Services</t>
  </si>
  <si>
    <t>OCE, Inc.</t>
  </si>
  <si>
    <t>Always Under Pressure</t>
  </si>
  <si>
    <t>GE Transportation Systems Global Signaling, LLC</t>
  </si>
  <si>
    <t>Thomas &amp; Betts Power Solution, LLC</t>
  </si>
  <si>
    <t>James R. Thompson, P.E.</t>
  </si>
  <si>
    <t>Nor-Cal Moving Services</t>
  </si>
  <si>
    <t>Hewlett Packard</t>
  </si>
  <si>
    <t>Loomis</t>
  </si>
  <si>
    <t>Denisse Gonzalez</t>
  </si>
  <si>
    <t>Dun &amp; Bradstreet</t>
  </si>
  <si>
    <t>Alderhorst International, Inc.</t>
  </si>
  <si>
    <t>David Goldstone</t>
  </si>
  <si>
    <t>13-05-01</t>
  </si>
  <si>
    <t>13-05-02</t>
  </si>
  <si>
    <t>13-05-03</t>
  </si>
  <si>
    <t>13-05-04</t>
  </si>
  <si>
    <t>13-05-05</t>
  </si>
  <si>
    <t>13-05-06</t>
  </si>
  <si>
    <t>13-05-07</t>
  </si>
  <si>
    <t>13-05-08</t>
  </si>
  <si>
    <t>13-05-09</t>
  </si>
  <si>
    <t>13-05-10</t>
  </si>
  <si>
    <t>13-05-11</t>
  </si>
  <si>
    <t>13-05-12</t>
  </si>
  <si>
    <t>Oracle America, Inc.</t>
  </si>
  <si>
    <t>H &amp; H Printing</t>
  </si>
  <si>
    <t>Advanced Printing</t>
  </si>
  <si>
    <t>ARC Reprographics</t>
  </si>
  <si>
    <t>Control Module</t>
  </si>
  <si>
    <t>Caminosoft Technologies</t>
  </si>
  <si>
    <t xml:space="preserve">Provide annual maintenance support services for enterprise software.  </t>
  </si>
  <si>
    <t xml:space="preserve">Provide the printing of platform schedules for A-Line service enhancement. </t>
  </si>
  <si>
    <t xml:space="preserve">Provide the printing of 75,000 BART Transit Connections brochures to replenish the inventory available for distribution to stations.  </t>
  </si>
  <si>
    <t xml:space="preserve">Provide the printing of 50,000 Oakland Airport and 50,000 San Francisco Airport rack brochures.  </t>
  </si>
  <si>
    <t>Provide the printing of BART Basics brochures in Chinese, Spanish, Vietnamese and Korean to satisfy Title VI requirements.</t>
  </si>
  <si>
    <t xml:space="preserve">Provide the printing of 50,000 BART Basics brochures to replenish the inventory available for distribution to stations. </t>
  </si>
  <si>
    <t xml:space="preserve">Provide reproduction services to fulfill requirements related to the new Operations Rules and Procedures Manual. </t>
  </si>
  <si>
    <t xml:space="preserve">Provide service to guide the District in the development of a Trauma Response Team to address critical events that may occur within the District. </t>
  </si>
  <si>
    <t xml:space="preserve">Provide hardware maintenance services for mainframe computer components.  </t>
  </si>
  <si>
    <t xml:space="preserve">Provide specialized archive software.  </t>
  </si>
  <si>
    <t xml:space="preserve">Provide the printing of BART Fares and Schedules brochures to replenish the inventory for distribution to the stations.  </t>
  </si>
  <si>
    <t>Provide legal services to address citations issued against the District for alleged Cal-OSHA violations.</t>
  </si>
  <si>
    <t>13-06-01</t>
  </si>
  <si>
    <t>13-06-02</t>
  </si>
  <si>
    <t>13-06-03</t>
  </si>
  <si>
    <t>13-06-04</t>
  </si>
  <si>
    <t>13-06-05</t>
  </si>
  <si>
    <t>13-06-06</t>
  </si>
  <si>
    <t>13-06-07</t>
  </si>
  <si>
    <t>13-06-08</t>
  </si>
  <si>
    <t>13-06-09</t>
  </si>
  <si>
    <t>13-06-10</t>
  </si>
  <si>
    <t>13-06-11</t>
  </si>
  <si>
    <t>13-06-12</t>
  </si>
  <si>
    <t>13-06-13</t>
  </si>
  <si>
    <t>13-06-14</t>
  </si>
  <si>
    <t>13-06-15</t>
  </si>
  <si>
    <t>13-06-16</t>
  </si>
  <si>
    <t>13-06-17</t>
  </si>
  <si>
    <t>13-06-18</t>
  </si>
  <si>
    <t>13-06-19</t>
  </si>
  <si>
    <t>Provide on-call maintenance and repair services for elevators and escalators to meet the standards established by court injunction related to ADA compliance.</t>
  </si>
  <si>
    <t xml:space="preserve">Provide advocacy services to represent BART’s interest before the US Congress.   </t>
  </si>
  <si>
    <t xml:space="preserve">Provide annual maintenance and support of computer software. </t>
  </si>
  <si>
    <t xml:space="preserve">Provide advertising to promote conversion of BART Discount Tickets to Clipper Card discount products in various ethnic news publications. </t>
  </si>
  <si>
    <t xml:space="preserve">Provide technical support services to maintain proprietary software products utilized for the BART website. </t>
  </si>
  <si>
    <t xml:space="preserve">Provide specialized services to repair inboard and outboard bearing cartridges for revenue vehicle traction motor gear units.  </t>
  </si>
  <si>
    <t xml:space="preserve">Provide magna-fluxing services for A2/B2 and C1/C2 car components to verify the integrity before they are repaired.  </t>
  </si>
  <si>
    <t xml:space="preserve">Provide support services for installing photovoltaic generation and energy efficiency facilities on District property.  </t>
  </si>
  <si>
    <t xml:space="preserve">Provide the Earthquake Safety Program with assistance in the review and development of BART documents requested by BART Operations.  </t>
  </si>
  <si>
    <t xml:space="preserve">Provide services for the 2013 labor negotiations by a Consultant chosen pursuant to the District’s collective bargaining agreement requirements. </t>
  </si>
  <si>
    <t xml:space="preserve">Provide energy management services necessary to achieve the objectives of the District’s energy program. </t>
  </si>
  <si>
    <t xml:space="preserve">Provide non-warranty repair, maintenance and upgrade services for Fair Collection equipment. </t>
  </si>
  <si>
    <t xml:space="preserve">Provide hosting services to maintain software and manage the District’s website.  </t>
  </si>
  <si>
    <t xml:space="preserve">Provide specialized legal research, advice and advocacy on matters relating to labor and management relations involving police department.  </t>
  </si>
  <si>
    <t>Earthquake Safety Program</t>
  </si>
  <si>
    <t>Otis Elevator</t>
  </si>
  <si>
    <t>C. J. Lakes</t>
  </si>
  <si>
    <t>Schindler Elevator</t>
  </si>
  <si>
    <t>Empire Elevator</t>
  </si>
  <si>
    <t>Novell, Inc.</t>
  </si>
  <si>
    <t>Metal Fusion</t>
  </si>
  <si>
    <t>Babbitt Bearing</t>
  </si>
  <si>
    <t>Cohen Energy Ventures dba Energy Solutions</t>
  </si>
  <si>
    <t>Norman A. Marks</t>
  </si>
  <si>
    <t>John A. Dash &amp; Associates</t>
  </si>
  <si>
    <t>Rackspace US, Inc.</t>
  </si>
  <si>
    <t>Liebert Cassidy Whitmore A Professional Law Corporation</t>
  </si>
  <si>
    <t>3703            ED-12-06</t>
  </si>
  <si>
    <t>6M4241</t>
  </si>
  <si>
    <t>4197            ED-13-03</t>
  </si>
  <si>
    <t>13-07-01</t>
  </si>
  <si>
    <t>13-07-02</t>
  </si>
  <si>
    <t>13-07-03</t>
  </si>
  <si>
    <t>13-07-04</t>
  </si>
  <si>
    <t>13-07-05</t>
  </si>
  <si>
    <t>13-07-06</t>
  </si>
  <si>
    <t>13-07-07</t>
  </si>
  <si>
    <t>13-07-08</t>
  </si>
  <si>
    <t>13-08-01</t>
  </si>
  <si>
    <t>Patricia Nelson</t>
  </si>
  <si>
    <t>SCA Environmental</t>
  </si>
  <si>
    <t>ARC, LLC</t>
  </si>
  <si>
    <t>Oakland Athletics Baseball Company</t>
  </si>
  <si>
    <t>John Bevan dba Bridges Marketing Group</t>
  </si>
  <si>
    <t>Provide services to fabricate and repair various shop fixtures.</t>
  </si>
  <si>
    <t xml:space="preserve">Provide services to conduct a field survey to evaluate the setup of six additional BART stations for parking fees.  </t>
  </si>
  <si>
    <t>Provide on-call industrial hygiene testing and consulting services of asbestos and lead containing materials at District facilities.</t>
  </si>
  <si>
    <t xml:space="preserve">Provide in-stadium digital advertising services for the upcoming football season. </t>
  </si>
  <si>
    <t xml:space="preserve">Provide advertising services promoting BART ridership at Oakland Athletics games.  </t>
  </si>
  <si>
    <r>
      <t>Provide services to develop and produce a series of 30-second television spots to promote Children on BART, Bikes on BART, and BART’s 40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Anniversary. </t>
    </r>
  </si>
  <si>
    <t>13-08-02</t>
  </si>
  <si>
    <t>13-08-03</t>
  </si>
  <si>
    <t>13-08-04</t>
  </si>
  <si>
    <t>13-08-05</t>
  </si>
  <si>
    <t>13-08-06</t>
  </si>
  <si>
    <t>13-08-07</t>
  </si>
  <si>
    <t>13-08-08</t>
  </si>
  <si>
    <t>13-08-09</t>
  </si>
  <si>
    <t>13-08-10</t>
  </si>
  <si>
    <t>13-08-11</t>
  </si>
  <si>
    <t>13-08-12</t>
  </si>
  <si>
    <t>13-08-13</t>
  </si>
  <si>
    <t>13-08-14</t>
  </si>
  <si>
    <t>13-08-15</t>
  </si>
  <si>
    <t>13-08-16</t>
  </si>
  <si>
    <t>13-08-17</t>
  </si>
  <si>
    <t>13-08-18</t>
  </si>
  <si>
    <t>13-08-19</t>
  </si>
  <si>
    <t>13-08-20</t>
  </si>
  <si>
    <t>13-08-21</t>
  </si>
  <si>
    <t>13-08-22</t>
  </si>
  <si>
    <t>13-08-23</t>
  </si>
  <si>
    <t>13-08-24</t>
  </si>
  <si>
    <t>13-08-25</t>
  </si>
  <si>
    <t>13-08-26</t>
  </si>
  <si>
    <t>Mya K. Coursey</t>
  </si>
  <si>
    <t>Albert P. Tully</t>
  </si>
  <si>
    <t>Ronald Hoh</t>
  </si>
  <si>
    <t>Philip Tamoush</t>
  </si>
  <si>
    <t>Patrick Halter</t>
  </si>
  <si>
    <t>Morris Davis</t>
  </si>
  <si>
    <t>Mark Burstein</t>
  </si>
  <si>
    <t>John Kagel</t>
  </si>
  <si>
    <t>Fred D. Butler</t>
  </si>
  <si>
    <t>Franklin Silver</t>
  </si>
  <si>
    <t>Charles A. Askin</t>
  </si>
  <si>
    <t>Barry Winograd</t>
  </si>
  <si>
    <t>Barbara Kong-Brown</t>
  </si>
  <si>
    <t>Alexander Cohn</t>
  </si>
  <si>
    <t>6M4240</t>
  </si>
  <si>
    <t>6M4242</t>
  </si>
  <si>
    <t>6M4248</t>
  </si>
  <si>
    <t>6M4236</t>
  </si>
  <si>
    <t>6M4235</t>
  </si>
  <si>
    <t>6M4234</t>
  </si>
  <si>
    <t>6M4214</t>
  </si>
  <si>
    <t>6M4213</t>
  </si>
  <si>
    <t>6M4233</t>
  </si>
  <si>
    <t>6M4232</t>
  </si>
  <si>
    <t>6M4231</t>
  </si>
  <si>
    <t>6M4230</t>
  </si>
  <si>
    <t>6M4229</t>
  </si>
  <si>
    <t>6M4217</t>
  </si>
  <si>
    <t>6M4212</t>
  </si>
  <si>
    <t>6M4222</t>
  </si>
  <si>
    <t>6M4221</t>
  </si>
  <si>
    <t>6M4220</t>
  </si>
  <si>
    <t>6M4228</t>
  </si>
  <si>
    <t>6M4227</t>
  </si>
  <si>
    <t>6M4226</t>
  </si>
  <si>
    <t>6M4225</t>
  </si>
  <si>
    <t>6M4224</t>
  </si>
  <si>
    <t>6M4223</t>
  </si>
  <si>
    <t>6M4210</t>
  </si>
  <si>
    <t>6M4219</t>
  </si>
  <si>
    <t>Provide mediation and arbitration services concerning Station Agent Staffing and Bidding by a Consultant chosen pursuant to the District’s collective bargaining agreement requirements.</t>
  </si>
  <si>
    <t>Provide mediation and arbitration services concerning the Clerical Extra Board by a Consultant chosen pursuant to the District’s collective bargaining agreement requirements.</t>
  </si>
  <si>
    <t>Provide mediation and arbitration services concerning Foreworker Bargaining Unit Work by a Consultant chosen pursuant to the District’s collective bargaining agreement requirements.</t>
  </si>
  <si>
    <t xml:space="preserve">Provide arbitration services related to the ATU 2-2-1 Hearings by a Consultant chosen pursuant to the District’s collective bargaining agreement requirements.  </t>
  </si>
  <si>
    <t xml:space="preserve">Provide mediation and arbitration services related to the ATU 3-3-1 Hearings by a Consultant chosen pursuant to the District’s collective bargaining agreement requirements.  </t>
  </si>
  <si>
    <t>13-09-01</t>
  </si>
  <si>
    <t>13-09-02</t>
  </si>
  <si>
    <t>13-09-03</t>
  </si>
  <si>
    <t>13-09-04</t>
  </si>
  <si>
    <t>13-09-05</t>
  </si>
  <si>
    <t>13-09-06</t>
  </si>
  <si>
    <t>13-09-07</t>
  </si>
  <si>
    <t>13-09-08</t>
  </si>
  <si>
    <t>13-09-09</t>
  </si>
  <si>
    <t>13-09-10</t>
  </si>
  <si>
    <t>13-09-11</t>
  </si>
  <si>
    <t>13-09-12</t>
  </si>
  <si>
    <t>13-09-13</t>
  </si>
  <si>
    <t>13-09-14</t>
  </si>
  <si>
    <t>13-09-15</t>
  </si>
  <si>
    <t>13-09-16</t>
  </si>
  <si>
    <t>13-09-17</t>
  </si>
  <si>
    <t>13-09-18</t>
  </si>
  <si>
    <t>13-09-19</t>
  </si>
  <si>
    <t>Communications Integrators</t>
  </si>
  <si>
    <t>Pro Media</t>
  </si>
  <si>
    <t>Microlys S.P.A.</t>
  </si>
  <si>
    <t>Midwest Associates</t>
  </si>
  <si>
    <t>Tri-Square Construction Company, Inc.</t>
  </si>
  <si>
    <t>Network Equipment Technologies Inc. (Net, Inc.)</t>
  </si>
  <si>
    <t>Bay Area Cartridges</t>
  </si>
  <si>
    <t>Powerwave Technologies</t>
  </si>
  <si>
    <t>USA Mobility</t>
  </si>
  <si>
    <t>Harris Corporation</t>
  </si>
  <si>
    <t>Language Line Services</t>
  </si>
  <si>
    <t>Municipal Code Corporation</t>
  </si>
  <si>
    <t>6M4185/4295</t>
  </si>
  <si>
    <t>6M4196/4292</t>
  </si>
  <si>
    <t>6M3211/3953</t>
  </si>
  <si>
    <t xml:space="preserve">Provide services to repair/rebuild time-lapse recording/video camera recorders comprising the revenue vehicle surveillance system. </t>
  </si>
  <si>
    <t xml:space="preserve">Provide proprietary software maintenance services for McAfee anti-virus software.  </t>
  </si>
  <si>
    <t xml:space="preserve">Provide specialized repair services for the multiple access public address system used in the Central Control Center.  </t>
  </si>
  <si>
    <t xml:space="preserve">Provide services to maintain and repair proprietary AFC ticket vending machine printers.  </t>
  </si>
  <si>
    <t xml:space="preserve">Provide proprietary services to support and repair bank note and coin handling equipment.  </t>
  </si>
  <si>
    <t xml:space="preserve">Provide specialized steeplejack services to maintain and repair antennas supporting the District’s trunked radio system.  </t>
  </si>
  <si>
    <t xml:space="preserve">Provide services for repair, replacement and upgrade of printed circuit boards used for train control.  </t>
  </si>
  <si>
    <t xml:space="preserve">Provide services to remanufacture ribbon cartridges for AFC equipment. </t>
  </si>
  <si>
    <t xml:space="preserve">Provide parts for repair of amplifiers used in the Andrews Underground Radio Amplifier System. </t>
  </si>
  <si>
    <t xml:space="preserve">Provide services to train a temporary Expeditor Clerk to fill an open position until a permanent employee is hired. </t>
  </si>
  <si>
    <t xml:space="preserve">Provide paging services for maintaining communications throughout the District.  </t>
  </si>
  <si>
    <t xml:space="preserve">Provide technical training services for proprietary Ericsson trunked radio systems to comply with PUC-mandated training requirements.  </t>
  </si>
  <si>
    <t xml:space="preserve">Provide the printing of 32-page BART Fares &amp; Schedules brochure to replenish the inventory available for distribution to BART stations.  </t>
  </si>
  <si>
    <t xml:space="preserve">Provide telephonic verbal translation services for BART Patrons in Compliance with Title VI Regulations.  </t>
  </si>
  <si>
    <t xml:space="preserve">Provide services to develop a searchable database of resolutions of the Board of Directors to facilitate the ability to access information in response to requests by the public.  </t>
  </si>
  <si>
    <t xml:space="preserve">Provide transcription and reporting services for hearings and arbitrations in accordance with the procedures established in the District’s Collective Bargaining Agreement.  </t>
  </si>
  <si>
    <t>13-10-01</t>
  </si>
  <si>
    <t>13-10-02</t>
  </si>
  <si>
    <t>13-10-03</t>
  </si>
  <si>
    <t>13-10-04</t>
  </si>
  <si>
    <t>13-10-05</t>
  </si>
  <si>
    <t>13-10-06</t>
  </si>
  <si>
    <t>13-10-07</t>
  </si>
  <si>
    <t>13-10-08</t>
  </si>
  <si>
    <t>13-10-09</t>
  </si>
  <si>
    <t>13-10-10</t>
  </si>
  <si>
    <t>13-10-11</t>
  </si>
  <si>
    <t>13-10-12</t>
  </si>
  <si>
    <t>13-10-13</t>
  </si>
  <si>
    <t>13-10-14</t>
  </si>
  <si>
    <t>13-10-15</t>
  </si>
  <si>
    <t>Vehicle Engineering</t>
  </si>
  <si>
    <t>EMS Consulting</t>
  </si>
  <si>
    <t>Interact</t>
  </si>
  <si>
    <t>S&amp;M Moving Systems</t>
  </si>
  <si>
    <t>Thompson, Reuters</t>
  </si>
  <si>
    <t>Ion Networks</t>
  </si>
  <si>
    <t>Kevin Hagerty</t>
  </si>
  <si>
    <t>DLT Solutions</t>
  </si>
  <si>
    <t>Bridges Marketing</t>
  </si>
  <si>
    <t>Envosoft, LLC</t>
  </si>
  <si>
    <t>Andrew Corporation</t>
  </si>
  <si>
    <t xml:space="preserve">Provide Lean Manufacturing Certification in support of a maintenance strategy program.  </t>
  </si>
  <si>
    <t xml:space="preserve">Provide temperature control unit modifications that will detect and record data to be used for temperature vehicle HVAC systems.  </t>
  </si>
  <si>
    <t>Provide License Agreement for mobile computer equipment utilized by the Police.</t>
  </si>
  <si>
    <t xml:space="preserve">Provide funding for permit and inspection fees for elevators, escalators and chairlifts located in stations and parking structures systemwide. </t>
  </si>
  <si>
    <t xml:space="preserve">Provide funding for storage fees that have accumulated for the storage of District furniture.  </t>
  </si>
  <si>
    <t xml:space="preserve">Provide services to perform background checks in support of District security efforts.  </t>
  </si>
  <si>
    <t xml:space="preserve">Provide software supporting Maximo Mobile.  </t>
  </si>
  <si>
    <t xml:space="preserve">Provide software upgrades for battery management software for train control equipment. </t>
  </si>
  <si>
    <t xml:space="preserve">Provide training in the maintenance of communications equipment.  </t>
  </si>
  <si>
    <t>Provide consulting services.</t>
  </si>
  <si>
    <t xml:space="preserve">Provide annual software maintenance of computer-aided drafting software.  </t>
  </si>
  <si>
    <t>Provide creative services and graphic design and production support on an as-needed basis.</t>
  </si>
  <si>
    <t xml:space="preserve">Provide software used to manage telephone switches, 911 equipment and provide call data for the district’s telecommunications system.  </t>
  </si>
  <si>
    <t xml:space="preserve">Provide services for the repair of trunk radio underground amplifier modules.  </t>
  </si>
  <si>
    <t xml:space="preserve">Provide services to conduct focus groups for BART to explore attitudes toward and develop messaging on BART’s infrastructure needs.  </t>
  </si>
  <si>
    <t>13-11-01</t>
  </si>
  <si>
    <t>13-11-02</t>
  </si>
  <si>
    <t>13-11-03</t>
  </si>
  <si>
    <t>13-11-04</t>
  </si>
  <si>
    <t>13-11-05</t>
  </si>
  <si>
    <t>13-11-06</t>
  </si>
  <si>
    <t>13-11-07</t>
  </si>
  <si>
    <t>13-11-08</t>
  </si>
  <si>
    <t>13-11-09</t>
  </si>
  <si>
    <t>13-11-10</t>
  </si>
  <si>
    <t>13-11-11</t>
  </si>
  <si>
    <t>13-11-12</t>
  </si>
  <si>
    <t>13-11-13</t>
  </si>
  <si>
    <t>13-11-14</t>
  </si>
  <si>
    <t>13-11-15</t>
  </si>
  <si>
    <t>13-11-16</t>
  </si>
  <si>
    <t>CDW-G</t>
  </si>
  <si>
    <t>Swiger Coil Systems</t>
  </si>
  <si>
    <t>Hendrickson Design</t>
  </si>
  <si>
    <t>Phoebe Bixler</t>
  </si>
  <si>
    <t>Regina Almaguer</t>
  </si>
  <si>
    <t>Premedia Systems, Inc.</t>
  </si>
  <si>
    <t>Earthquake Safety Systems</t>
  </si>
  <si>
    <t>Bombardier Transportation</t>
  </si>
  <si>
    <t>Pyramid Solutions, Inc.</t>
  </si>
  <si>
    <t>Soti Inc.</t>
  </si>
  <si>
    <t xml:space="preserve">Provide data storage services including back-up tapes.  </t>
  </si>
  <si>
    <t xml:space="preserve">Provide and maintain the District’s Blackberries.  </t>
  </si>
  <si>
    <t xml:space="preserve">Provide services to repair new traction motors and ensure the continuation of the warranty performance. </t>
  </si>
  <si>
    <t>Provide creative services for visual branding and communications campaigns and program design services.</t>
  </si>
  <si>
    <t xml:space="preserve">Provide on-call services to provide BART communications and information collateral. </t>
  </si>
  <si>
    <t xml:space="preserve">Provide creative services for producing Maps, Signage and other information graphics.  </t>
  </si>
  <si>
    <t xml:space="preserve">Provide creative services for production support and pre-press management. </t>
  </si>
  <si>
    <t xml:space="preserve">Provide production support for timetables in posted displays.  </t>
  </si>
  <si>
    <t xml:space="preserve">Provide warehouse storage services and delivery/distribution services for BART Brochures.  </t>
  </si>
  <si>
    <t xml:space="preserve">Provide service to implement a poster art program. </t>
  </si>
  <si>
    <t xml:space="preserve">Provide consulting services to update proprietary software used to generate timetables, fare instruments for brochures, machine front fare charts and Platform/Station train schedules. </t>
  </si>
  <si>
    <t xml:space="preserve">Provide services to repair seismic switch units to ensure that there are a sufficient number of units available in inventory.  </t>
  </si>
  <si>
    <t xml:space="preserve">Provide services to repair proprietary train control equipment. </t>
  </si>
  <si>
    <t xml:space="preserve">Provide software to enable communication between Central and new substation equipment installed as a part of the Traction Power Station Rehabilitation Project.  </t>
  </si>
  <si>
    <t xml:space="preserve">Provide community outreach assistance relating to the BART to Livermore extension project.  </t>
  </si>
  <si>
    <t xml:space="preserve">Provide renewal License Agreement for software utilized for BART Police mobile devices.  </t>
  </si>
  <si>
    <t>13-12-01</t>
  </si>
  <si>
    <t>13-12-02</t>
  </si>
  <si>
    <t>13-12-03</t>
  </si>
  <si>
    <t>13-12-04</t>
  </si>
  <si>
    <t>13-12-05</t>
  </si>
  <si>
    <t>Western Integrated Systems</t>
  </si>
  <si>
    <t>Alstom Signaling Inc.</t>
  </si>
  <si>
    <t xml:space="preserve">Provide services to implement a capture solution to gather basic Accounts Payable data to construct invoice aging reports. </t>
  </si>
  <si>
    <t>Provide specialized services to repair train control circuit boards.</t>
  </si>
  <si>
    <t>Provide attended-fee parking services at the Coliseum Station during special events with an expected attendance of 30,000 people or more.</t>
  </si>
  <si>
    <t xml:space="preserve">Provide services to maintain and repair bicycle lockers and related equipment.  </t>
  </si>
  <si>
    <t xml:space="preserve">Provide software maintenance and upgrade services for 911 dispatch equipment.  </t>
  </si>
  <si>
    <t>13-13-01</t>
  </si>
  <si>
    <t>13-13-02</t>
  </si>
  <si>
    <t>13-13-03</t>
  </si>
  <si>
    <t>13-13-04</t>
  </si>
  <si>
    <t>13-13-05</t>
  </si>
  <si>
    <t>13-13-06</t>
  </si>
  <si>
    <t>13-13-07</t>
  </si>
  <si>
    <t>13-13-08</t>
  </si>
  <si>
    <t>13-13-09</t>
  </si>
  <si>
    <t>13-13-10</t>
  </si>
  <si>
    <t>13-13-11</t>
  </si>
  <si>
    <t>13-13-12</t>
  </si>
  <si>
    <t>13-13-13</t>
  </si>
  <si>
    <t>13-13-14</t>
  </si>
  <si>
    <t>13-13-15</t>
  </si>
  <si>
    <t>13-13-16</t>
  </si>
  <si>
    <t>13-13-17</t>
  </si>
  <si>
    <t>13-13-18</t>
  </si>
  <si>
    <t>13-13-19</t>
  </si>
  <si>
    <t>Transit System Compliance</t>
  </si>
  <si>
    <t>Aegis Rapidtext</t>
  </si>
  <si>
    <t>Technology, engineering Construction, Inc. dba Accutite</t>
  </si>
  <si>
    <t>City of Hayward</t>
  </si>
  <si>
    <t>City of Oakland</t>
  </si>
  <si>
    <t>Bay Area Air Quality Management District</t>
  </si>
  <si>
    <t>Curtis &amp; Tompkins, Inc.</t>
  </si>
  <si>
    <t>R&amp;S Overhead Garage Doors</t>
  </si>
  <si>
    <t>Arrowhead</t>
  </si>
  <si>
    <t>Partners in Communications</t>
  </si>
  <si>
    <t>SIC-Lakeside Drive, LLC</t>
  </si>
  <si>
    <t>Kronos, Inc.</t>
  </si>
  <si>
    <t xml:space="preserve">Provide specialized services for installing police equipment into new patrol vehicles.  </t>
  </si>
  <si>
    <t xml:space="preserve">Provide advertising services to promote BART’s environmental credentials, state of good repair and Fleet of the Future. </t>
  </si>
  <si>
    <t xml:space="preserve">Provide closed captioning of Board Meetings streamed to the BART Website.  </t>
  </si>
  <si>
    <t>Provide collaborative skills training in preparation for 2013 negotiations.</t>
  </si>
  <si>
    <t xml:space="preserve">Provide services to modify the Learn BART booklet to address the needs of the Spanish and Chinese speaking communities.  </t>
  </si>
  <si>
    <t xml:space="preserve">Provide services to produce a 32-page Fares and Schedules rack brochure. </t>
  </si>
  <si>
    <t xml:space="preserve">Provide services to conduct monthly inspections of underground storage tanks in accordance with State law.  </t>
  </si>
  <si>
    <t xml:space="preserve">Provide funding for hazardous material facilities fees as required under State and local laws.  </t>
  </si>
  <si>
    <t xml:space="preserve">Provide funding for air permit fees as required under State and local laws. </t>
  </si>
  <si>
    <t xml:space="preserve">Provide services for the disposal of medical wastes as required under State and local laws. </t>
  </si>
  <si>
    <t>Provide services to perform chemical analysis of wastes materials as required under State and local laws.</t>
  </si>
  <si>
    <t xml:space="preserve">Provide services to repair and maintain grill gates and doors used to provide security for property and personnel. </t>
  </si>
  <si>
    <t xml:space="preserve">Provide bottled water services for various District facilities. </t>
  </si>
  <si>
    <t xml:space="preserve">Provide services to repair and maintain pressure washing equipment.  </t>
  </si>
  <si>
    <t xml:space="preserve">Provide sign language interpreting services for BART Accessibility Task Force meetings.  </t>
  </si>
  <si>
    <t xml:space="preserve">Provide proprietary Checkpoint firewall software required to ensure security of the District’s website. </t>
  </si>
  <si>
    <t xml:space="preserve">Provide services to maintain the computer floor and server equipment.  </t>
  </si>
  <si>
    <t xml:space="preserve">Provide maintenance and support for specialized software utilized for scheduling by BART Police.  </t>
  </si>
  <si>
    <t>13-14-01</t>
  </si>
  <si>
    <t>13-14-02</t>
  </si>
  <si>
    <t>13-15-01</t>
  </si>
  <si>
    <t xml:space="preserve">Provide on-call arbitration and mediation services as required to resolve union issues.  </t>
  </si>
  <si>
    <t>Provide on-call arbitration and mediation services as required to resolve ATU union issues.</t>
  </si>
  <si>
    <t>Thomas Angelo</t>
  </si>
  <si>
    <t>13-15-02</t>
  </si>
  <si>
    <t>13-15-03</t>
  </si>
  <si>
    <t>13-15-04</t>
  </si>
  <si>
    <t>13-15-05</t>
  </si>
  <si>
    <t xml:space="preserve">Provide live video streaming of BART Board meetings over the internet.  </t>
  </si>
  <si>
    <t xml:space="preserve">Provide specialized software required to meet reporting requirements for FTA.  </t>
  </si>
  <si>
    <t xml:space="preserve">Provide on-call videography and production services for BARTtv projects when required in the absence of BART Staff.  </t>
  </si>
  <si>
    <t>Provide on-call videography and editing services for BARTtv projects when required in the absence of BART Staff.</t>
  </si>
  <si>
    <t>Buck Consultants, a Xerox Company</t>
  </si>
  <si>
    <t>Granicus</t>
  </si>
  <si>
    <t>Peopleclick</t>
  </si>
  <si>
    <t>13-16-01</t>
  </si>
  <si>
    <t>13-16-02</t>
  </si>
  <si>
    <t>13-16-03</t>
  </si>
  <si>
    <t>13-16-04</t>
  </si>
  <si>
    <t>13-16-05</t>
  </si>
  <si>
    <t>13-17-01</t>
  </si>
  <si>
    <t>13-18-01</t>
  </si>
  <si>
    <t>13-19-01</t>
  </si>
  <si>
    <t>13-19-02</t>
  </si>
  <si>
    <t>13-19-03</t>
  </si>
  <si>
    <t>13-19-04</t>
  </si>
  <si>
    <t>13-19-05</t>
  </si>
  <si>
    <t>13-19-06</t>
  </si>
  <si>
    <t>13-19-07</t>
  </si>
  <si>
    <t>13-19-08</t>
  </si>
  <si>
    <t>13-19-09</t>
  </si>
  <si>
    <t>13-19-10</t>
  </si>
  <si>
    <t>13-19-11</t>
  </si>
  <si>
    <t>13-19-12</t>
  </si>
  <si>
    <t>Vars Consulting, LLC</t>
  </si>
  <si>
    <t>J A Fransca &amp; Associates</t>
  </si>
  <si>
    <t>Interloc Solutions Inc.</t>
  </si>
  <si>
    <t>Downtown Honda of Oakland</t>
  </si>
  <si>
    <t>Ontime Consulting LLC</t>
  </si>
  <si>
    <t>Bintelx, Inc.</t>
  </si>
  <si>
    <t>Soliera, Inc.</t>
  </si>
  <si>
    <t>Motion Control Engineering</t>
  </si>
  <si>
    <t xml:space="preserve">Provide consulting services in support of BART’s Telestaff Project.  Telestaff is scheduling software used by BART’s Police Department.  </t>
  </si>
  <si>
    <t xml:space="preserve">Provide consulting services to support the post implementation of BART’s PeopleSoft Financial Systems. </t>
  </si>
  <si>
    <t>Provide consulting services to support the post implementation of BART’s PeopleSoft Financial Systems.</t>
  </si>
  <si>
    <t xml:space="preserve">Provide information technology consulting services to support BART’s Maximo System. </t>
  </si>
  <si>
    <t xml:space="preserve">Provide specialized legal services in connection with Cal-OSHA citations. </t>
  </si>
  <si>
    <t xml:space="preserve">Provide the lease of two cargo passenger vans for use by staff to support the Traction Power Rehab Project.  </t>
  </si>
  <si>
    <t xml:space="preserve">Provide consulting services in support of BAP Post Implementation. </t>
  </si>
  <si>
    <t>Provide consulting services to support BART’s OBIEE and PeopleSoft Financial Systems.</t>
  </si>
  <si>
    <t xml:space="preserve">Provide consulting services to identify and resolve issues related to BART’s PeopleSoft Systems. </t>
  </si>
  <si>
    <t xml:space="preserve">Provide services to repair elevator drive motors by the local authorized repair facility.  </t>
  </si>
  <si>
    <t>13-20-01</t>
  </si>
  <si>
    <t>13-20-02</t>
  </si>
  <si>
    <t>13-20-03</t>
  </si>
  <si>
    <t>13-20-04</t>
  </si>
  <si>
    <t>13-20-05</t>
  </si>
  <si>
    <t>13-20-06</t>
  </si>
  <si>
    <t>13-20-07</t>
  </si>
  <si>
    <t>Eventpro Strategies LLC</t>
  </si>
  <si>
    <t>Transformer Testing and Repair</t>
  </si>
  <si>
    <t>Vantage Local, Inc.</t>
  </si>
  <si>
    <t>Entercom California LLC</t>
  </si>
  <si>
    <t>KIS Computer</t>
  </si>
  <si>
    <r>
      <t>Provide teams of brand ambassadors passing out printed material for BART’s 40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Anniversary celebration. </t>
    </r>
  </si>
  <si>
    <t>Provide services to analyze the health of District’s 90 liquid filled transformers.</t>
  </si>
  <si>
    <t xml:space="preserve">Provide services to promote BART’s internet advertising Holiday Shopping campaign. </t>
  </si>
  <si>
    <t xml:space="preserve">Provide 28 – 60 second radio advertising spots to promote BART’s Holiday Shopping campaign. </t>
  </si>
  <si>
    <t xml:space="preserve">Provides technical support for BART’s software.  </t>
  </si>
  <si>
    <t>Provide renewal License Agreement for VMWare.</t>
  </si>
  <si>
    <t>Provide 500 Exterior Removable Decals used to demark 100 additional trains on which new vinyl seats are installed.</t>
  </si>
  <si>
    <t>13-17-02</t>
  </si>
  <si>
    <t>13-17-03</t>
  </si>
  <si>
    <t>13-17-04</t>
  </si>
  <si>
    <t>13-17-05</t>
  </si>
  <si>
    <t>13-18-02</t>
  </si>
  <si>
    <t>13-18-03</t>
  </si>
  <si>
    <t>13-18-04</t>
  </si>
  <si>
    <t xml:space="preserve">Provide services to conduct a health and fitness instruction pilot program and to evaluate the feasibility of establishing a long-term program.  </t>
  </si>
  <si>
    <t xml:space="preserve">Provide consulting services to support the installation of photovoltaic equipment energy efficiency facilities on District property. </t>
  </si>
  <si>
    <t xml:space="preserve">Provide the rental of portable trailers used by train operators in the Hayward, Concord and Richmond Yards.  </t>
  </si>
  <si>
    <t xml:space="preserve">Provide services to conduct a review of Best and Final Offers for TOD development at the Millbrae Station.  </t>
  </si>
  <si>
    <t>Provide Phase 2 consulting services to estimate the value of additional property tax revenues.</t>
  </si>
  <si>
    <t>Blink Tag Inc.</t>
  </si>
  <si>
    <t>Kone Elevator</t>
  </si>
  <si>
    <t>Vincent Electrical Motors Co.</t>
  </si>
  <si>
    <t>Accent on Languages</t>
  </si>
  <si>
    <t>AT &amp; T Global Services</t>
  </si>
  <si>
    <t xml:space="preserve">Provide front-end web production services to support the growing demand for website postings by various departments in the District. </t>
  </si>
  <si>
    <t xml:space="preserve">Provide on-call services to repair elevators and escalators to comply with mandated ADA compliance.  </t>
  </si>
  <si>
    <t>Provide repair service for electrical drive motors for elevators, escalators and ventilation pumps.</t>
  </si>
  <si>
    <t xml:space="preserve">Provide translation services to convert source documents to target languages in support of Title VI compliance efforts.  </t>
  </si>
  <si>
    <t xml:space="preserve">Provide depot maintenance services for the District’s telecommunications equipment.  </t>
  </si>
  <si>
    <t xml:space="preserve">Provide print production services for Limited English Proficiency products as required to comply with Title VI regulations.  </t>
  </si>
  <si>
    <t xml:space="preserve">Provide specialized consultation and testimony in support of an arbitration relating a Police Officer.  </t>
  </si>
  <si>
    <t>Provide services to print car cards to advertise winners of BART’s Blue Sky competition.</t>
  </si>
  <si>
    <t xml:space="preserve">Provide services to broadcast and provide eNews Media monitoring and press coverage analytics services.  </t>
  </si>
  <si>
    <t>L. Douglas Pipes</t>
  </si>
  <si>
    <t>Lawrence N. Blum, PhD, Inc.</t>
  </si>
  <si>
    <t>Keyser Marston Associates</t>
  </si>
  <si>
    <t>13-21-01</t>
  </si>
  <si>
    <t xml:space="preserve">Provide consulting services in support of evolving land use policy and real estate projects on BART property at numerous station areas.  </t>
  </si>
  <si>
    <t xml:space="preserve">Provide BART a 2 year membership to participate in the International Suburban Benchmarking Rail Group.  </t>
  </si>
  <si>
    <t>13-21-02</t>
  </si>
  <si>
    <t>Operations Planning</t>
  </si>
  <si>
    <t>Economic &amp; Planning Systems, Inc.</t>
  </si>
  <si>
    <t>Imperial College Consultants</t>
  </si>
  <si>
    <t>13-22-01</t>
  </si>
  <si>
    <t>13-22-02</t>
  </si>
  <si>
    <t>13-22-03</t>
  </si>
  <si>
    <t>13-22-04</t>
  </si>
  <si>
    <t>13-22-05</t>
  </si>
  <si>
    <t>13-22-06</t>
  </si>
  <si>
    <t>13-22-07</t>
  </si>
  <si>
    <t>13-22-08</t>
  </si>
  <si>
    <t>13-22-09</t>
  </si>
  <si>
    <t xml:space="preserve">Provide professional services in connection with training and consulting for a Management Development Program.    </t>
  </si>
  <si>
    <t>Provide psychological services for BART PD applicant.</t>
  </si>
  <si>
    <t xml:space="preserve">Provide TTI Polygraph for pre-employment medical exams services for BART PD candidates.  </t>
  </si>
  <si>
    <t xml:space="preserve">Provide services for staffing &amp; compensating an exam room rental facility and smart technology for pre-employment testing. </t>
  </si>
  <si>
    <t>Provide market research services to conduct data entry services for BART Passenger Environment Survey questionnaires.</t>
  </si>
  <si>
    <t>Provide expert witness services regarding an eminent domain matter to obtain property for the eBART Project.</t>
  </si>
  <si>
    <t xml:space="preserve">Provide forensic analysis and expert witness services.  </t>
  </si>
  <si>
    <t xml:space="preserve">Provide in-stadium digital advertising services for the upcoming football season.  </t>
  </si>
  <si>
    <t>HR Solutions &amp; Services</t>
  </si>
  <si>
    <t>Paul S D Berg, Ph.D. &amp; Associates</t>
  </si>
  <si>
    <t>TTI Polygraph</t>
  </si>
  <si>
    <t>Laney College</t>
  </si>
  <si>
    <t>Corey, Canapary &amp; Galanis</t>
  </si>
  <si>
    <t>Associated Right of Way Services, Inc.</t>
  </si>
  <si>
    <t>Forensic Video Solutions</t>
  </si>
  <si>
    <t>13-23-01</t>
  </si>
  <si>
    <t>13-23-02</t>
  </si>
  <si>
    <t>13-23-03</t>
  </si>
  <si>
    <t>13-23-04</t>
  </si>
  <si>
    <t>13-23-05</t>
  </si>
  <si>
    <t>13-23-06</t>
  </si>
  <si>
    <t>13-23-07</t>
  </si>
  <si>
    <t>13-23-08</t>
  </si>
  <si>
    <t>13-23-09</t>
  </si>
  <si>
    <t xml:space="preserve">Provide legal services in connection with accessibility of Clipper Card Readers.  </t>
  </si>
  <si>
    <t xml:space="preserve">Provide outreach to small businesses to support BART’s Small Business Programs.    </t>
  </si>
  <si>
    <t xml:space="preserve">Provide Payment Card Industry (PCI) compliance validation audit services for payment card industry data security standards program. </t>
  </si>
  <si>
    <t xml:space="preserve">Provide consulting services in transitioning to the implementation of the new Small Business Initiatives. </t>
  </si>
  <si>
    <t xml:space="preserve">Provide on-call services to refurbish the District’s 300 ton DAKE wheel press.  </t>
  </si>
  <si>
    <t>360 Total Concepts</t>
  </si>
  <si>
    <t>Trustwave Holdings, Inc.</t>
  </si>
  <si>
    <t>Face 2 Face Communications, LLC</t>
  </si>
  <si>
    <t>Pendergast Consulting Group</t>
  </si>
  <si>
    <t>JLM Management Group</t>
  </si>
  <si>
    <t>Joyce Aldana Associates</t>
  </si>
  <si>
    <t>VFM Consultants</t>
  </si>
  <si>
    <t>Innovative Industrial Services, LLC</t>
  </si>
  <si>
    <t>13-24-01</t>
  </si>
  <si>
    <t>13-24-02</t>
  </si>
  <si>
    <t>13-24-03</t>
  </si>
  <si>
    <t>13-24-04</t>
  </si>
  <si>
    <t>13-24-05</t>
  </si>
  <si>
    <t>13-24-06</t>
  </si>
  <si>
    <t>13-24-07</t>
  </si>
  <si>
    <t>13-24-08</t>
  </si>
  <si>
    <t>13-24-09</t>
  </si>
  <si>
    <t>13-24-10</t>
  </si>
  <si>
    <t>13-24-11</t>
  </si>
  <si>
    <t xml:space="preserve">Provide an Arbitrator for arbitrations and mediations for BART. </t>
  </si>
  <si>
    <t xml:space="preserve">Provide services for installing emergency police equipment on new specialty CAP TEAM vehicles.  </t>
  </si>
  <si>
    <t>Provide legal services on eminent domain and inverse condemnation matters.</t>
  </si>
  <si>
    <t xml:space="preserve">Provide consulting services in support of BART Station Area Retail negotiation support.  </t>
  </si>
  <si>
    <t xml:space="preserve">Provide tree pruning /removal services to maintain a safe operating environment for rail services.  </t>
  </si>
  <si>
    <t xml:space="preserve">Provide software licenses for mobile device management system for iphones.  </t>
  </si>
  <si>
    <t xml:space="preserve">Provide maintenance and repair services for computer A/C units located on LKS-20.  </t>
  </si>
  <si>
    <t>Provide extensive pre-employment investigative services.</t>
  </si>
  <si>
    <t xml:space="preserve">Provide proprietary MobileCop software to support the BART Police daily operations. </t>
  </si>
  <si>
    <t xml:space="preserve">Provide services for the delivery and replacement of batteries providing emergency power for the District’s administrative computer network.  </t>
  </si>
  <si>
    <t>Golden Gate Dispute Resolution</t>
  </si>
  <si>
    <t>TLC2 Tree Service</t>
  </si>
  <si>
    <t>Airwatch</t>
  </si>
  <si>
    <t>Therma Corporation</t>
  </si>
  <si>
    <t>Fred Freeman Investigative Group</t>
  </si>
  <si>
    <t>Systat</t>
  </si>
  <si>
    <t>Interact Public Safety Systems</t>
  </si>
  <si>
    <t>13-25-01</t>
  </si>
  <si>
    <t>13-25-02</t>
  </si>
  <si>
    <t>13-25-03</t>
  </si>
  <si>
    <t>13-25-04</t>
  </si>
  <si>
    <t>13-25-05</t>
  </si>
  <si>
    <t>13-25-06</t>
  </si>
  <si>
    <t>13-25-07</t>
  </si>
  <si>
    <t>13-25-08</t>
  </si>
  <si>
    <t>13-25-09</t>
  </si>
  <si>
    <t>13-25-10</t>
  </si>
  <si>
    <t>13-25-11</t>
  </si>
  <si>
    <t>13-25-12</t>
  </si>
  <si>
    <t>13-25-13</t>
  </si>
  <si>
    <t>13-25-14</t>
  </si>
  <si>
    <t xml:space="preserve">Provide the lease of a digital laser imaging machine for the print shop for a term of 48 months.  </t>
  </si>
  <si>
    <t xml:space="preserve">Provide information technology consulting services in support of Call-in Protocol Project for People Soft.  </t>
  </si>
  <si>
    <t xml:space="preserve">Provide consulting services for the 2013 Labor Negotiations.  </t>
  </si>
  <si>
    <t xml:space="preserve">Provide document storage and retrieval services.  </t>
  </si>
  <si>
    <t xml:space="preserve">Provide specialized services to splice high-voltage cables and terminations to restore continuity essential to revenue operations.  </t>
  </si>
  <si>
    <t xml:space="preserve">Provide machine shop services to support emergency repairs for elevators and escalators.  </t>
  </si>
  <si>
    <t xml:space="preserve">Provide on-call services to expedite the repair of elevator/escalator parts as required to maintain services to comply with ADA provisions.  </t>
  </si>
  <si>
    <t xml:space="preserve">Provide specialized labor relations consulting services relevant to transit industry issues. </t>
  </si>
  <si>
    <t xml:space="preserve">Provide repairs or overhaul electrical and mechanical equipment vital to revenue service.  </t>
  </si>
  <si>
    <t xml:space="preserve">Provide video monitoring services for construction activities at the WSX-LTSS project.  </t>
  </si>
  <si>
    <t xml:space="preserve">Provide technical support services to small businesses supporting the District’s construction, procurement, and service contracts.  </t>
  </si>
  <si>
    <t>Provide labor and materials for unscheduled repairs as required to maintain elevator/escalator equipment related to ADA compliance.</t>
  </si>
  <si>
    <t>WSX/LMA Capital Program</t>
  </si>
  <si>
    <t>Ricoh USA, Inc.</t>
  </si>
  <si>
    <t>Liberty Cassidy Whitmore A Professional Law Corporation</t>
  </si>
  <si>
    <t>Recall Total Information</t>
  </si>
  <si>
    <t>Grant Engineering</t>
  </si>
  <si>
    <t>Hi Voltage Splicing Company</t>
  </si>
  <si>
    <t>Titan Machine</t>
  </si>
  <si>
    <t>Oakland Machine Works</t>
  </si>
  <si>
    <t>Thomas P. Hock &amp; Associates</t>
  </si>
  <si>
    <t>Koffler Electrical</t>
  </si>
  <si>
    <t>Oxblue Corporation</t>
  </si>
  <si>
    <t>Fe Jordan Associates, Inc.</t>
  </si>
  <si>
    <t>13-26-01</t>
  </si>
  <si>
    <t>13-26-02</t>
  </si>
  <si>
    <t>13-26-03</t>
  </si>
  <si>
    <t>13-26-04</t>
  </si>
  <si>
    <t>13-26-05</t>
  </si>
  <si>
    <t>13-26-06</t>
  </si>
  <si>
    <t>13-26-07</t>
  </si>
  <si>
    <t>13-26-08</t>
  </si>
  <si>
    <t>13-26-09</t>
  </si>
  <si>
    <t>13-26-10</t>
  </si>
  <si>
    <t>13-26-11</t>
  </si>
  <si>
    <t>13-26-12</t>
  </si>
  <si>
    <t>13-26-13</t>
  </si>
  <si>
    <t>13-26-14</t>
  </si>
  <si>
    <t>13-26-15</t>
  </si>
  <si>
    <t>13-26-16</t>
  </si>
  <si>
    <t>13-26-17</t>
  </si>
  <si>
    <t>13-26-18</t>
  </si>
  <si>
    <t>13-26-19</t>
  </si>
  <si>
    <t>13-26-20</t>
  </si>
  <si>
    <t>13-26-21</t>
  </si>
  <si>
    <t>13-26-22</t>
  </si>
  <si>
    <t>13-26-23</t>
  </si>
  <si>
    <t>Maintenance &amp; Engineering Power &amp; Mechanical</t>
  </si>
  <si>
    <t>T&amp;P Machine Shop</t>
  </si>
  <si>
    <t>Nextel Communications</t>
  </si>
  <si>
    <t>Bigge Crane &amp; Rigging Company</t>
  </si>
  <si>
    <t>Cintas</t>
  </si>
  <si>
    <t>Simplex-Grinnell</t>
  </si>
  <si>
    <t>Sabah International</t>
  </si>
  <si>
    <t>Carrier San Leandro</t>
  </si>
  <si>
    <t>Overhead Door Company</t>
  </si>
  <si>
    <t>Allied Crane Inc.</t>
  </si>
  <si>
    <t>Dake</t>
  </si>
  <si>
    <t>Pump Repair Service</t>
  </si>
  <si>
    <t>G-C Lubricants</t>
  </si>
  <si>
    <t>Fujitec of America, Inc.</t>
  </si>
  <si>
    <t>Standard Metal Products</t>
  </si>
  <si>
    <t>Mai Thi Elevator</t>
  </si>
  <si>
    <t>Intelligent Technologies and Services</t>
  </si>
  <si>
    <t>Interclean Equipment Company</t>
  </si>
  <si>
    <t>Sieck Growth</t>
  </si>
  <si>
    <t>Whelan Engineering Corp.</t>
  </si>
  <si>
    <t>Yost Metal Fab</t>
  </si>
  <si>
    <t>Simmons Machine Tool Corporation</t>
  </si>
  <si>
    <t>Interwoven, Inc.</t>
  </si>
  <si>
    <t>Provide services to fabricate parts as required for repairs to the elevators and escalators to comply with mandated ADA compliance.</t>
  </si>
  <si>
    <t xml:space="preserve">Provide cellular telephone services for Power &amp; Mechanical Department personnel. </t>
  </si>
  <si>
    <t>Provide services associated with the use of lifting equipment.</t>
  </si>
  <si>
    <t xml:space="preserve">Provide services to clean and repair uniforms and safety runner rugs used by maintenance staff. </t>
  </si>
  <si>
    <t xml:space="preserve">Provide fire detection and suppression system repair services. </t>
  </si>
  <si>
    <t xml:space="preserve">Provide fire inspection, testing, and service repairs to the FM200 and Halon Systems located in Train Control Rooms and other locations. </t>
  </si>
  <si>
    <t xml:space="preserve">Provide services to maintain and repair Lake Merritt Administration Building’s heating, ventilation and air conditioning. </t>
  </si>
  <si>
    <t xml:space="preserve">Provide parts and repair services for the District’s motorized grills and doors. </t>
  </si>
  <si>
    <t xml:space="preserve">Provide certification and load tests for the District’s overhead bridge cranes. </t>
  </si>
  <si>
    <t xml:space="preserve">Provide parts and repairs to District wheel press at Hayward Yard. </t>
  </si>
  <si>
    <t>Provide parts and repairs to District submersible pumps and sump pumps.</t>
  </si>
  <si>
    <t xml:space="preserve">Provide repair services to support elevator/escalator maintenance in an effort to ensure compliance with ADA Agreement mandates. </t>
  </si>
  <si>
    <t xml:space="preserve">Provide services to conduct an objective evaluation of the execution of the BART brand strategy. </t>
  </si>
  <si>
    <t xml:space="preserve">Provide repair and overhaul services for the District’s split case air conditioning compressors as needed. </t>
  </si>
  <si>
    <t xml:space="preserve">Provide services to maintain document management software utilized by the Legal Department and the District Secretary’s Office.  </t>
  </si>
  <si>
    <t xml:space="preserve">Provide parts and wheel machine repair services as needed. </t>
  </si>
  <si>
    <t xml:space="preserve">Provide services to fabricate parts required for repair of the elevators and escalators to comply with the mandated ADA service requirements. </t>
  </si>
  <si>
    <t xml:space="preserve">Provide services to conduct a health and fitness instruction program in an effort to reduce Industrial injuries.  </t>
  </si>
  <si>
    <t xml:space="preserve">Provide labor and materials on an as needed basis to support District staff in maintaining train washers at Richmond, Daly City and Hayward. </t>
  </si>
  <si>
    <t xml:space="preserve">Provide emergency labor and materials for elevators/escalators to supplement District Staff capabilities in order to assure compliance with ADA mandates enforced through a court injunction. </t>
  </si>
  <si>
    <t xml:space="preserve">Provide elevator/escalator repair services to supplement District Staff capabilities in order to assure compliance with ADA mandates enforced through a court injunction. </t>
  </si>
  <si>
    <t>13-27-01</t>
  </si>
  <si>
    <t>13-27-02</t>
  </si>
  <si>
    <t>13-27-03</t>
  </si>
  <si>
    <t>13-27-04</t>
  </si>
  <si>
    <t>13-27-05</t>
  </si>
  <si>
    <t>13-27-06</t>
  </si>
  <si>
    <t xml:space="preserve">Provide service to the District’s bobcat machine.  </t>
  </si>
  <si>
    <t xml:space="preserve">Provide services to implement a new system, RemedyForce, for the Help Desk for configuration and change management.  </t>
  </si>
  <si>
    <t xml:space="preserve">Provide the rental of a black and white reproduction system for general usage by the District.  </t>
  </si>
  <si>
    <t xml:space="preserve">Provide the rental of a color reproduction system for general usage by the District. </t>
  </si>
  <si>
    <t>Bobcat West</t>
  </si>
  <si>
    <t>Salesforce.com</t>
  </si>
  <si>
    <t>Rightstar Systems</t>
  </si>
  <si>
    <t xml:space="preserve">Provide highly specialized services to install radio antennas and tower top amplifier at Warm  Springs site. </t>
  </si>
  <si>
    <t xml:space="preserve">Provide proprietary software maintenance services for Oracle/PeopleSoft UPK and People Tools.  </t>
  </si>
  <si>
    <t xml:space="preserve">Provide services to train a temporary Expeditor Clerk to fill an open position until a permanent employee is hired.  </t>
  </si>
  <si>
    <t xml:space="preserve">Provide parts and repair services for the District’s electric carts and forklifts on an as needed basis. </t>
  </si>
  <si>
    <t>13-28-01</t>
  </si>
  <si>
    <t>13-28-02</t>
  </si>
  <si>
    <t>13-28-03</t>
  </si>
  <si>
    <t>13-28-04</t>
  </si>
  <si>
    <t>13-28-05</t>
  </si>
  <si>
    <t>L.D. Strobel Co., Inc.</t>
  </si>
  <si>
    <t>Cromer Equipment</t>
  </si>
  <si>
    <t>13-29-01</t>
  </si>
  <si>
    <t>13-29-02</t>
  </si>
  <si>
    <t>13-29-03</t>
  </si>
  <si>
    <t>13-29-04</t>
  </si>
  <si>
    <t>13-29-05</t>
  </si>
  <si>
    <t>13-29-06</t>
  </si>
  <si>
    <t>13-29-07</t>
  </si>
  <si>
    <t>13-29-08</t>
  </si>
  <si>
    <t>13-29-09</t>
  </si>
  <si>
    <t>13-29-10</t>
  </si>
  <si>
    <t>Controller</t>
  </si>
  <si>
    <t>Tal Global Corporation</t>
  </si>
  <si>
    <t>City and County of San Francisco</t>
  </si>
  <si>
    <t>Ed Pangilinan</t>
  </si>
  <si>
    <t>The Goode Company</t>
  </si>
  <si>
    <t>McLaren Software</t>
  </si>
  <si>
    <t xml:space="preserve">Provide quarterly analyses to protect intellectual property.  </t>
  </si>
  <si>
    <t>Provide services to update revenue vehicle test diagnostics and control units to be compatible with portable test units utilized by mechanics.</t>
  </si>
  <si>
    <t xml:space="preserve">Provide street-based outreach services to homeless persons in an effort to reduce crime and other activities that plague the station plaza areas. </t>
  </si>
  <si>
    <t xml:space="preserve">Provide support services to prepare financial reports required to ensure that the district is in compliance with grant agreement requirements. </t>
  </si>
  <si>
    <t xml:space="preserve">Provide services to print 100,000 BART Basics brochures to replenish the supply available for distribution to stations. </t>
  </si>
  <si>
    <t xml:space="preserve">Provide services to print 150,000 BART Transit Connections brochures to replenish the supply available for distribution to stations. </t>
  </si>
  <si>
    <t>Provide services to print 300,000 BART Fares and Schedules brochures to replenish the supply available for distribution to stations.</t>
  </si>
  <si>
    <t xml:space="preserve">Provide services to conduct a forensic video analysis involving expert witness testimony relative to an arbitration issue. </t>
  </si>
  <si>
    <t xml:space="preserve">Provide services to replace escalator parts to maintain reliability on high-volume units. </t>
  </si>
  <si>
    <t xml:space="preserve">Provide maintenance and renewal of CIMAGE desktop user software licenses. </t>
  </si>
  <si>
    <t>13-30-01</t>
  </si>
  <si>
    <t>13-30-02</t>
  </si>
  <si>
    <t>13-30-03</t>
  </si>
  <si>
    <t>13-30-04</t>
  </si>
  <si>
    <t>13-30-05</t>
  </si>
  <si>
    <t>13-30-06</t>
  </si>
  <si>
    <t>Safety Compliance Management</t>
  </si>
  <si>
    <t>Joseph A. Hearst, Esq.</t>
  </si>
  <si>
    <t>Oiltrap Environmental, Inc.</t>
  </si>
  <si>
    <t>Harbolt Industrial Support Services, Inc.</t>
  </si>
  <si>
    <t xml:space="preserve">Acquire specialized software required to conduct risk analyses in support of union negotiations and other financial analytical efforts.  </t>
  </si>
  <si>
    <t>Provide first aid training for vehicle technicians required to work with energized equipment.</t>
  </si>
  <si>
    <t>Provide specialized legal services related to the appeal of litigation issues.</t>
  </si>
  <si>
    <t>Provide services to upgrade the capacity of the existing water treatment equipment at the Concord Shop from 5 to 10 gallons per minute.</t>
  </si>
  <si>
    <t xml:space="preserve">Provide services to remove and repair a hydraulic ram utilized for a truck lift in the Richmond Shop. </t>
  </si>
  <si>
    <t xml:space="preserve">Provide the renewal of a software license for virtualization software used to improve the efficiency and availability of IT resources. </t>
  </si>
  <si>
    <t>13-31-01</t>
  </si>
  <si>
    <t>13-31-02</t>
  </si>
  <si>
    <t>13-31-03</t>
  </si>
  <si>
    <t>13-31-04</t>
  </si>
  <si>
    <t>13-31-05</t>
  </si>
  <si>
    <t>13-31-06</t>
  </si>
  <si>
    <t>13-31-07</t>
  </si>
  <si>
    <t>Joseph Evinger</t>
  </si>
  <si>
    <t>Eddy Lau</t>
  </si>
  <si>
    <t>SMA UND Partner AG</t>
  </si>
  <si>
    <t>Gummerson &amp; Conhain, Inc.</t>
  </si>
  <si>
    <t>Peyser Associates, LLC</t>
  </si>
  <si>
    <t>Milliman, Inc.</t>
  </si>
  <si>
    <t>JC Analytics, LLC</t>
  </si>
  <si>
    <t xml:space="preserve">Provide specialized transit agency labor negotiations support services and staff training. </t>
  </si>
  <si>
    <t xml:space="preserve">Provide specialized scheduling software to integrate crew/staff and train schedules in the Oracle/PeopleSoft environment. </t>
  </si>
  <si>
    <t xml:space="preserve">Provide consulting services to support the 2013 labor negotiations.  </t>
  </si>
  <si>
    <t xml:space="preserve">Provide services to conduct a study to evaluate the potential for public-private partnership (P3) utilization as a means of improving transportation facilities and services. </t>
  </si>
  <si>
    <t>Provide services to conduct actuarial valuations required to estimate the cost of benefits provided to BART employees.</t>
  </si>
  <si>
    <t xml:space="preserve">Provide services to build a risk analysis model to be utilized to support upcoming union negotiations. </t>
  </si>
  <si>
    <t>13-32-01</t>
  </si>
  <si>
    <t>13-32-02</t>
  </si>
  <si>
    <t>13-32-03</t>
  </si>
  <si>
    <t>13-32-04</t>
  </si>
  <si>
    <t>13-32-05</t>
  </si>
  <si>
    <t>13-32-06</t>
  </si>
  <si>
    <t xml:space="preserve">Provide specialized consultation and testimony in support of an arbitration concerning a Police Officer. </t>
  </si>
  <si>
    <t xml:space="preserve">Provide expert witness services related to imminent domain/inverse condemnation matters for the East Contra Costa Extension.  </t>
  </si>
  <si>
    <t xml:space="preserve">Provide plaza cleaning services. </t>
  </si>
  <si>
    <t xml:space="preserve">Provide maintenance services and related supplies for sanitizing restrooms in four shops. </t>
  </si>
  <si>
    <t xml:space="preserve">Provide services to modify software to change a default setting to allow logging of revenue vehicle movements in non-revenue areas. </t>
  </si>
  <si>
    <t>Smith &amp; Associates</t>
  </si>
  <si>
    <t>BKF Engineers</t>
  </si>
  <si>
    <t>Costless Maintenance Services</t>
  </si>
  <si>
    <t>Rochester Midland</t>
  </si>
  <si>
    <t>13-33-01</t>
  </si>
  <si>
    <t>13-33-02</t>
  </si>
  <si>
    <t>13-33-03</t>
  </si>
  <si>
    <t>13-33-04</t>
  </si>
  <si>
    <t>Kazer Corporation</t>
  </si>
  <si>
    <t>AQS Management Systems</t>
  </si>
  <si>
    <t>Elmo Giovannetti</t>
  </si>
  <si>
    <t xml:space="preserve">Provide training required for ten key personnel to maintain ISO 9000 certification. </t>
  </si>
  <si>
    <t xml:space="preserve">Provide services during the installation of the uninterruptable power supply (UPS) system in the BART Lake Merritt Building (LMA).  </t>
  </si>
  <si>
    <t xml:space="preserve">Provide services and lubricant to maintain proper operation of elevators and escalators. </t>
  </si>
  <si>
    <t xml:space="preserve">Provide software to update the Automatic Fare Collection/Data Acquisition System to support the Clipper fare payment system. </t>
  </si>
  <si>
    <t>13-34-01</t>
  </si>
  <si>
    <t>13-34-02</t>
  </si>
  <si>
    <t>13-34-03</t>
  </si>
  <si>
    <t>13-34-04</t>
  </si>
  <si>
    <t>13-34-05</t>
  </si>
  <si>
    <t>Carol Vendrillo</t>
  </si>
  <si>
    <t>Roger Avery</t>
  </si>
  <si>
    <t>Opnet</t>
  </si>
  <si>
    <t xml:space="preserve">Provide arbitration services in accordance with the collective bargaining agreements.  </t>
  </si>
  <si>
    <t xml:space="preserve">Provide services to replace escalator bull gears, interrings, steps, gear box and safety devices as required to maintain service requirements.  </t>
  </si>
  <si>
    <t>Provide annual maintenance of software utilized to monitor performance of the network and applications.</t>
  </si>
  <si>
    <t xml:space="preserve">Provide additional consulting services related to the procurement of specialized lockers for the Electronic Bicycle Locker project. </t>
  </si>
  <si>
    <t>13-35-01</t>
  </si>
  <si>
    <t>13-35-02</t>
  </si>
  <si>
    <t>13-35-03</t>
  </si>
  <si>
    <t>13-35-04</t>
  </si>
  <si>
    <t>Transit Systems Development</t>
  </si>
  <si>
    <t>Eric Zell</t>
  </si>
  <si>
    <t>Webco Sweeping</t>
  </si>
  <si>
    <t>Verge Design</t>
  </si>
  <si>
    <t xml:space="preserve">Provide advocacy services to secure support for eBART. </t>
  </si>
  <si>
    <t xml:space="preserve">Provide services to implement a capture solution to gather basic Accounts Payable data to construct invoice aging reports.  </t>
  </si>
  <si>
    <t xml:space="preserve">Provide creative services for visual branding and communications campaigns and program design services.  </t>
  </si>
  <si>
    <t>13-36-01</t>
  </si>
  <si>
    <t>13-36-02</t>
  </si>
  <si>
    <t>13-36-03</t>
  </si>
  <si>
    <t>13-36-04</t>
  </si>
  <si>
    <t>13-36-05</t>
  </si>
  <si>
    <t>13-36-06</t>
  </si>
  <si>
    <t>Clear Channel</t>
  </si>
  <si>
    <t>Center for Hearing Health</t>
  </si>
  <si>
    <t>University Services MRO</t>
  </si>
  <si>
    <t>Thompson Coburn, LLP</t>
  </si>
  <si>
    <t>Provide radio advertising to promote BART’s New Year’s Eve special service and to prepare for the “BARTable” program.</t>
  </si>
  <si>
    <t>Provide monthly delivery of the BARTimes Newsletter to stations and other locations.</t>
  </si>
  <si>
    <t>Provide on-site hearing tests to BART employees required to have such tests by Cal/OSHA.</t>
  </si>
  <si>
    <t xml:space="preserve">Provide Medical Review Officer (MRO) services as required by the district’s Drug and Alcohol Policy. </t>
  </si>
  <si>
    <t xml:space="preserve">Provide specialized legal services related to union challenges based on recent legislative pension reforms. </t>
  </si>
  <si>
    <t xml:space="preserve">Provide specialized legal services related to eminent domain/inverse condemnation matters. </t>
  </si>
  <si>
    <t>13-37-01</t>
  </si>
  <si>
    <t>13-37-02</t>
  </si>
  <si>
    <t>13-37-03</t>
  </si>
  <si>
    <t>13-37-04</t>
  </si>
  <si>
    <t>13-37-05</t>
  </si>
  <si>
    <t>Roberta Fogerty</t>
  </si>
  <si>
    <t>Scott D. Miller</t>
  </si>
  <si>
    <t>Central Coast Polygraph, Inc.</t>
  </si>
  <si>
    <t>Kirby Polygraph and Investigative</t>
  </si>
  <si>
    <t>Backgrounds Online</t>
  </si>
  <si>
    <t xml:space="preserve">Provide analytical support services for operating budget activities including current operations and future labor negotiations. </t>
  </si>
  <si>
    <t xml:space="preserve">Provide specialized transit industry labor negotiations costing training and support for BART staff in preparation for labor negotiations. </t>
  </si>
  <si>
    <t xml:space="preserve">Provide pre-employment security clearance services. </t>
  </si>
  <si>
    <t xml:space="preserve">Provide pre-employment reference check services. </t>
  </si>
  <si>
    <t xml:space="preserve">Provide pre-employment medical services. </t>
  </si>
  <si>
    <t>13-38-01</t>
  </si>
  <si>
    <t>13-38-02</t>
  </si>
  <si>
    <t>13-38-03</t>
  </si>
  <si>
    <t>13-38-04</t>
  </si>
  <si>
    <t>Adobe Systems, Inc.</t>
  </si>
  <si>
    <t>Google, Inc.</t>
  </si>
  <si>
    <t>Rumi Uneo</t>
  </si>
  <si>
    <t xml:space="preserve">Provide proprietary software to allow secure editing of BART website content by BART staff. </t>
  </si>
  <si>
    <t xml:space="preserve">Provide proprietary software required for mapping and wayfinding capabilities for the BART website. </t>
  </si>
  <si>
    <t>Provide consulting services to support Labor Relations for the 2013 labor negotiations.</t>
  </si>
  <si>
    <t xml:space="preserve">Provide repair services to support elevator/escalator maintenance in an effort to ensure compliance with ADA Agreement mandates.  </t>
  </si>
  <si>
    <t>Quest Rail, LLC</t>
  </si>
  <si>
    <t>13-39-01</t>
  </si>
  <si>
    <t>13-39-02</t>
  </si>
  <si>
    <t>13-39-03</t>
  </si>
  <si>
    <t>13-39-04</t>
  </si>
  <si>
    <t>13-39-05</t>
  </si>
  <si>
    <t>Govdelivery, Inc.</t>
  </si>
  <si>
    <t>Adlerhorst International, Inc.</t>
  </si>
  <si>
    <t>Sum Total Systems</t>
  </si>
  <si>
    <t>Lincoln Broadcasting KTSF TV26</t>
  </si>
  <si>
    <t>Provide software and associated services for maintaining and tracking required training for BART staff.</t>
  </si>
  <si>
    <t xml:space="preserve">Provide digital subscription management software required to send real-time train schedule information electronically to more than 106,000 subscribers. </t>
  </si>
  <si>
    <t xml:space="preserve">Provide the printing of BART customer survey forms in 5 languages to replenish the supply available to patrons. </t>
  </si>
  <si>
    <t>Provide services to air 52 30-second TV spots targeting Chinese-language audiences to promote BART services.</t>
  </si>
  <si>
    <t>13-40-01</t>
  </si>
  <si>
    <t>13-40-02</t>
  </si>
  <si>
    <t>13-40-03</t>
  </si>
  <si>
    <t>13-40-04</t>
  </si>
  <si>
    <t>13-40-05</t>
  </si>
  <si>
    <t>13-40-06</t>
  </si>
  <si>
    <t>13-40-07</t>
  </si>
  <si>
    <t>Human Resources/Labor Relations</t>
  </si>
  <si>
    <t>BART Police Internal Audit Department</t>
  </si>
  <si>
    <t>CJ Lake, LLC</t>
  </si>
  <si>
    <t>APC (By Schneider Electric)</t>
  </si>
  <si>
    <t>Schott &amp; Lites</t>
  </si>
  <si>
    <t>Foothill Transcription Company, Inc.</t>
  </si>
  <si>
    <t>Provide transcription and reporting services for arbitrations in compliance with the District’s collective bargaining agreement requirements.</t>
  </si>
  <si>
    <t>Provide annual maintenance support services for PeopleSoft Learning Management software.</t>
  </si>
  <si>
    <t xml:space="preserve">Provide annual maintenance support services for PeopleSoft Enterprise software.  </t>
  </si>
  <si>
    <t xml:space="preserve">Provide advocacy services to represent BART’s interest before the US Congress. </t>
  </si>
  <si>
    <t>Provide annual maintenance support services for UPS power supply monitoring equipment.</t>
  </si>
  <si>
    <t xml:space="preserve">Provide advocacy services to represent BART’s interest before California Legislature.  </t>
  </si>
  <si>
    <t xml:space="preserve">Provide transcription services for documenting investigations. </t>
  </si>
  <si>
    <t>13-41-02</t>
  </si>
  <si>
    <t>13-41-01</t>
  </si>
  <si>
    <t>GB Place Making, LLC</t>
  </si>
  <si>
    <t>Daniels Railroad Engineering, Inc.</t>
  </si>
  <si>
    <t xml:space="preserve">Provide a policy and place-making analysis for transforming BART stations and connecting them to the community in support of the effort to redesign the core system. </t>
  </si>
  <si>
    <t>13-42-01</t>
  </si>
  <si>
    <t>13-42-02</t>
  </si>
  <si>
    <t>13-42-03</t>
  </si>
  <si>
    <t>13-42-04</t>
  </si>
  <si>
    <t>13-42-05</t>
  </si>
  <si>
    <t>Long-Range Planning</t>
  </si>
  <si>
    <t>Communications/Media and Public Affairs</t>
  </si>
  <si>
    <t>Industrial Employers and Distributors Association</t>
  </si>
  <si>
    <t>Accuvant</t>
  </si>
  <si>
    <t>Dr. Richard Wilson</t>
  </si>
  <si>
    <t>Mann Consulting</t>
  </si>
  <si>
    <t>Provide services for the 2013 labor negotiations by a Consultant chosen pursuant to the District’s collective bargaining agreement requirements.</t>
  </si>
  <si>
    <t xml:space="preserve">Provide for the rental of a forklift required for the A2/B2 Car Interior Reconfiguration Project.  </t>
  </si>
  <si>
    <t xml:space="preserve">Provide services for the installation of new video production equipment.  </t>
  </si>
  <si>
    <t xml:space="preserve">Provide consulting services for the development of access and parking policy options for the BART to Livermore Extension Project.  </t>
  </si>
  <si>
    <t>Provide renewal License Agreement for software and support for the appliances that perform content filtering and antivirus protection for the Internet connection for BART.</t>
  </si>
  <si>
    <t>13-43-01</t>
  </si>
  <si>
    <t>13-43-02</t>
  </si>
  <si>
    <t>13-43-03</t>
  </si>
  <si>
    <t>13-43-04</t>
  </si>
  <si>
    <t>13-43-05</t>
  </si>
  <si>
    <t>13-43-06</t>
  </si>
  <si>
    <t>13-43-07</t>
  </si>
  <si>
    <t>13-43-08</t>
  </si>
  <si>
    <t>13-43-09</t>
  </si>
  <si>
    <t>Donnoe &amp; Associates, Inc.</t>
  </si>
  <si>
    <t>Nettitude Limited</t>
  </si>
  <si>
    <t>Phamatech Laboratories &amp; Diagnostics</t>
  </si>
  <si>
    <t>Entercom San Francisco/KBLX-FM</t>
  </si>
  <si>
    <t>Operations Technology, Inc.</t>
  </si>
  <si>
    <t>5498/            PO # 6725</t>
  </si>
  <si>
    <t>Provide services to conduct job analyses and assist the District in creating and replacing pre-employment exams.</t>
  </si>
  <si>
    <t>Provide services to perform an annual network security assessment to review internet functions.</t>
  </si>
  <si>
    <t>Provide for the development of a new BART website to replace myBART.org.</t>
  </si>
  <si>
    <t xml:space="preserve">Provide drug testing laboratory services to support the District’s drug testing program.  </t>
  </si>
  <si>
    <t>Provide 80 radio advertising spots on KBLX-FM to promote awareness of Black History month.</t>
  </si>
  <si>
    <t xml:space="preserve">Provide annual maintenance support services for PeopleSoft Enterprise Asset Management Analytics software. </t>
  </si>
  <si>
    <t xml:space="preserve">Provide on-call maintenance and repair services for two waste water treatment facilities located in the Concord and the Richmond Yards.  </t>
  </si>
  <si>
    <t xml:space="preserve">Provide expert witness services related to eminent domain/inverse condemnation matters for the East Contra Costa Extension (eBART) litigation.  </t>
  </si>
  <si>
    <t xml:space="preserve">Provide training services required for BART engineers as users for the ETAP software.  </t>
  </si>
  <si>
    <t>13-44-01</t>
  </si>
  <si>
    <t>13-44-02</t>
  </si>
  <si>
    <t>13-44-03</t>
  </si>
  <si>
    <t>Marketing</t>
  </si>
  <si>
    <t>Cyrun</t>
  </si>
  <si>
    <t xml:space="preserve">Provide annual maintenance of Computer Aided Dispatch (CAD) software utilized by BART Police.  </t>
  </si>
  <si>
    <t xml:space="preserve">Provide services to promote BART ridership at Oakland Athletics games. </t>
  </si>
  <si>
    <t>13-45-01</t>
  </si>
  <si>
    <t>13-45-02</t>
  </si>
  <si>
    <t>13-45-03</t>
  </si>
  <si>
    <t>13-45-04</t>
  </si>
  <si>
    <t>13-45-05</t>
  </si>
  <si>
    <t>David Klaus</t>
  </si>
  <si>
    <t>Best Equipment Company, LLC</t>
  </si>
  <si>
    <t xml:space="preserve">Provide advocacy services to promote BART interests before the United States Congress.  </t>
  </si>
  <si>
    <t xml:space="preserve">Provide services to recharge, inspect and repair the District’s fire extinguishers. </t>
  </si>
  <si>
    <t>Provide services to maintain the computer floor and server equipment.</t>
  </si>
  <si>
    <t xml:space="preserve">Provide proprietary software support and maintenance services for Oracle Database add-on software.  </t>
  </si>
  <si>
    <t>Provide services to print 27,000 BARTimes Newsletters for distribution to stations and other organizations.</t>
  </si>
  <si>
    <t>13-46-01</t>
  </si>
  <si>
    <t>13-46-02</t>
  </si>
  <si>
    <t>13-46-03</t>
  </si>
  <si>
    <t>13-46-04</t>
  </si>
  <si>
    <t>13-46-05</t>
  </si>
  <si>
    <t>13-46-06</t>
  </si>
  <si>
    <t>Telecommunications Program</t>
  </si>
  <si>
    <t>Robert J. Norment</t>
  </si>
  <si>
    <t>Professional Dynamics, Inc.</t>
  </si>
  <si>
    <t>Singer Associates</t>
  </si>
  <si>
    <t>Provide engineering services to document and maintain the District’s Commercial Telecommunication Revenue Program.</t>
  </si>
  <si>
    <t xml:space="preserve">Provide consulting services to review policies, communications and procedures regarding the absence management program.  </t>
  </si>
  <si>
    <t xml:space="preserve">Provide proprietary software maintenance and support for Oracle Database Enterprise Edition. </t>
  </si>
  <si>
    <t>Provide public affairs consulting services to assist District staff in the development of strategies for the implementation and monitoring of public outreach efforts to various audiences.</t>
  </si>
  <si>
    <t>Provide services to fabricate parts required for repair of the District’s elevators and escalators to comply with the mandated ADA compliance.</t>
  </si>
  <si>
    <t>13-47-01</t>
  </si>
  <si>
    <t>13-47-02</t>
  </si>
  <si>
    <t>13-47-03</t>
  </si>
  <si>
    <t>13-47-04</t>
  </si>
  <si>
    <t>The Regents of the University of California</t>
  </si>
  <si>
    <t>Beeson, Taylor &amp; Bodine</t>
  </si>
  <si>
    <t>5675/PO# 6678</t>
  </si>
  <si>
    <t>5623/PO# 6712</t>
  </si>
  <si>
    <t>6M4277</t>
  </si>
  <si>
    <t xml:space="preserve">Provide printing services for the BARTimes Newsletter for distribution to BART’s 44 stations and partner organizations.  </t>
  </si>
  <si>
    <t xml:space="preserve">Provide services to repair and maintain floor scrubber machines.  </t>
  </si>
  <si>
    <t xml:space="preserve">Provide forty (40) hours of Accounting training for Junior Accountants.  </t>
  </si>
  <si>
    <t>Provide consulting services related to the 2013 labor negotiations training and facilitation of bargaining.</t>
  </si>
  <si>
    <t xml:space="preserve">Provide Linux software annual maintenance and support.  </t>
  </si>
  <si>
    <t xml:space="preserve">Provide chrome plating of rail bookends for the Employee Awards Program.  </t>
  </si>
  <si>
    <t>13-48-01</t>
  </si>
  <si>
    <t>13-48-02</t>
  </si>
  <si>
    <t>Customer Service</t>
  </si>
  <si>
    <t>Electro-Forming</t>
  </si>
  <si>
    <t>13-49-01</t>
  </si>
  <si>
    <t>13-49-02</t>
  </si>
  <si>
    <t>Systems Safety</t>
  </si>
  <si>
    <t>Garcia and Associates</t>
  </si>
  <si>
    <t>5471/6M4247</t>
  </si>
  <si>
    <t xml:space="preserve">Provide environmental monitoring services for BART’s Warm Springs Extension Project.  </t>
  </si>
  <si>
    <t xml:space="preserve">Provide consulting services to support the Accounting Department in identifying and resolving issues associated with the Funds Distribution Project.  </t>
  </si>
  <si>
    <t>13-50-01</t>
  </si>
  <si>
    <t>13-50-02</t>
  </si>
  <si>
    <t>13-50-03</t>
  </si>
  <si>
    <t>13-50-04</t>
  </si>
  <si>
    <t>13-50-05</t>
  </si>
  <si>
    <t>13-50-06</t>
  </si>
  <si>
    <t>13-50-07</t>
  </si>
  <si>
    <t>13-50-08</t>
  </si>
  <si>
    <t>Robert D. Peterson Law Corporation</t>
  </si>
  <si>
    <t>CAD Masters, Inc.</t>
  </si>
  <si>
    <t>Win Machining &amp; Sheet Metal, Inc.</t>
  </si>
  <si>
    <t>Consolidated Printers, Inc.</t>
  </si>
  <si>
    <t>Databank, IMX</t>
  </si>
  <si>
    <t>5671/PO# 3601</t>
  </si>
  <si>
    <t>5706/6G1116</t>
  </si>
  <si>
    <t>Provide bilingual consulting capability to address Title VI and New Rail car issues during community outreach activities throughout the District.</t>
  </si>
  <si>
    <t xml:space="preserve">Provide legal services in connection with Cal-OSHA citations issued. </t>
  </si>
  <si>
    <t xml:space="preserve">Provide support services for the development and implementation of the ISO 9001 based Quality Management System for RS&amp;S.  </t>
  </si>
  <si>
    <t xml:space="preserve">Provide services to conduct a health and fitness instruction program to reduce industrial injuries to support the District’s attendance initiatives.  </t>
  </si>
  <si>
    <t xml:space="preserve">Provide AutoCAD/Building Information Modeling (BIM) software training. </t>
  </si>
  <si>
    <t xml:space="preserve">Provide the installation of new fasteners for the modification of the Revenue Vehicle Pilot Bars. </t>
  </si>
  <si>
    <t>Provide the reprinting of 75,000 BART Transit Connections rack brochures to reflect updated MUNI schedules.</t>
  </si>
  <si>
    <t>13-51-01</t>
  </si>
  <si>
    <t>13-51-02</t>
  </si>
  <si>
    <t>13-51-03</t>
  </si>
  <si>
    <t>13-51-04</t>
  </si>
  <si>
    <t>13-51-05</t>
  </si>
  <si>
    <t>Captivate Network</t>
  </si>
  <si>
    <t>CBS Outdoor</t>
  </si>
  <si>
    <t>Praxair Distribution, Inc.</t>
  </si>
  <si>
    <t>5708/PO# 7345</t>
  </si>
  <si>
    <t xml:space="preserve">Provide advertising services to promote BART’s Blue Sky Festival commemorating Earth Day.  </t>
  </si>
  <si>
    <t xml:space="preserve">Provide advertising on the Bay Bridge Toll Plaza digital display billboard to promote BART’s Blue Sky Festival commemorating Earth Day. </t>
  </si>
  <si>
    <t>Provide bottled drinking water at District maintenance facilities.</t>
  </si>
  <si>
    <t xml:space="preserve">Provide and maintain welding gas supply tanks at shop facilities.  </t>
  </si>
  <si>
    <t>13-52-01</t>
  </si>
  <si>
    <t>13-52-02</t>
  </si>
  <si>
    <t>13-52-03</t>
  </si>
  <si>
    <t>Planning &amp; Development</t>
  </si>
  <si>
    <t>Armando Sandoval, II</t>
  </si>
  <si>
    <t>Ellis Brooks Leasing, Inc.</t>
  </si>
  <si>
    <t xml:space="preserve">Provide a three (3) year lease of five (5) vehicles for use by District staff for site visits in support of the SVBX capital project. </t>
  </si>
  <si>
    <t xml:space="preserve">Provide creative services to promote BART’s Blue Sky Festival commemorating Earth Day.  </t>
  </si>
  <si>
    <t xml:space="preserve">Provide community outreach services to coordinate the activities of CIT officers, consult with mental health centers and provide reports in order to prepare officers to address mental health needs. </t>
  </si>
  <si>
    <t>Provide specialized railroad engineering services in support of the Silicon Valley Berryessa Extension (SVBX).</t>
  </si>
  <si>
    <t xml:space="preserve">Provide services to convert existing microfiched reports to an electronic searchable format.  </t>
  </si>
  <si>
    <t>Patch</t>
  </si>
  <si>
    <t>Fairbank, Maslin, Maulin, Metz &amp; Associates (FM3)</t>
  </si>
  <si>
    <t>Project2</t>
  </si>
  <si>
    <t>CBS Radio</t>
  </si>
  <si>
    <t>Witmer-Tyson Imports, Inc.</t>
  </si>
  <si>
    <t>5835/         PO# 7047</t>
  </si>
  <si>
    <t xml:space="preserve">Provide warrant storage services for warrants served and processed by BART Police. </t>
  </si>
  <si>
    <t xml:space="preserve">Provide annual maintenance and support services for PeopleSoft Enterprise software.  </t>
  </si>
  <si>
    <t>Provide the rental of color and black and white reproduction systems for general usage by the District.</t>
  </si>
  <si>
    <t>Provide 256 15-second radio advertising spots on two local stations to promote BART’s Blue Sky Festival.</t>
  </si>
  <si>
    <t xml:space="preserve">Provide internet advertising services to promote BART’s Blue Sky Festival to highlight BART’s benefits for the environment.  </t>
  </si>
  <si>
    <t xml:space="preserve">Provide services to conduct a study of voter’s opinions and perceptions of BART to obtain data for evaluation of various funding options and objectives to support BART’s capital projects.  </t>
  </si>
  <si>
    <t xml:space="preserve">Provide maintenance training for Police Canines to insure they maintain the required skills to perform their duties.  </t>
  </si>
  <si>
    <t>Provide 92 radio advertising spots on three local stations to promote BART’s Blue Sky Festival.</t>
  </si>
  <si>
    <t xml:space="preserve">Provide services to test pilot an IT-centric portal based on Microsoft SharePoint 2013 to easily access, share and distribute documents from existing file shares by using SharePoint libraries.  </t>
  </si>
  <si>
    <t>13-53-01</t>
  </si>
  <si>
    <t>13-53-02</t>
  </si>
  <si>
    <t>13-53-03</t>
  </si>
  <si>
    <t>13-53-04</t>
  </si>
  <si>
    <t>13-53-05</t>
  </si>
  <si>
    <t>13-53-06</t>
  </si>
  <si>
    <t>13-53-07</t>
  </si>
  <si>
    <t>13-53-08</t>
  </si>
  <si>
    <t>13-53-09</t>
  </si>
  <si>
    <t>13-53-10</t>
  </si>
  <si>
    <t>13-54-01</t>
  </si>
  <si>
    <t>13-54-02</t>
  </si>
  <si>
    <t>5844/         PO# 7074</t>
  </si>
  <si>
    <t>5879/         PO# 6M3072</t>
  </si>
  <si>
    <t xml:space="preserve">Provide on-call services to expedite the repair of elevator/escalator parts as required to maintain services to comply with ADA provisions. </t>
  </si>
  <si>
    <t>13-55-01</t>
  </si>
  <si>
    <t>13-55-02</t>
  </si>
  <si>
    <t>13-55-03</t>
  </si>
  <si>
    <t>13-55-04</t>
  </si>
  <si>
    <t>13-55-05</t>
  </si>
  <si>
    <t>13-55-06</t>
  </si>
  <si>
    <t>Imprenta</t>
  </si>
  <si>
    <t>Encore, Inc.</t>
  </si>
  <si>
    <t>King-American Ambulance Co.</t>
  </si>
  <si>
    <t>5909/         PO# 8499</t>
  </si>
  <si>
    <t>5888/         PO# 6M3093</t>
  </si>
  <si>
    <t>Provide services to conduct a survey regarding BART’s customer service response time and to identify best practices of other transit agencies.</t>
  </si>
  <si>
    <t>Provide creative and production coordination services for the preparation of marketing collateral for various campaigns.</t>
  </si>
  <si>
    <t xml:space="preserve">Provide primary standby emergency medical services (EMS) to BART patrons, staff and others within the service area.  </t>
  </si>
  <si>
    <t xml:space="preserve">Provide funding for a partnership agreement between BART and the City and County of San Francisco to provide street-based outreach services.  </t>
  </si>
  <si>
    <t>Provide teams of brand ambassadors to distribute printed material promoting BART’s Blue Sky Festival commemorating Earth Day.</t>
  </si>
  <si>
    <t>Provide consulting services to assist the Accounting Department in resolving issues with Task Profiles, HCM, Project Costing for Financials, Funds Distribution Process, Strategic Planning.</t>
  </si>
  <si>
    <t>13-56-01</t>
  </si>
  <si>
    <t>13-56-02</t>
  </si>
  <si>
    <t>Provide consulting services to support BART’s OBIEE Report and Business Analytics in preparation for the 2013 Labor Negotiations.</t>
  </si>
  <si>
    <t xml:space="preserve">Provide consulting services to assist the Accounting Department in resolving issues with the Funds Distribution Project.  </t>
  </si>
  <si>
    <t>13-57-01</t>
  </si>
  <si>
    <t>13-57-02</t>
  </si>
  <si>
    <t>En Pointe Technologies</t>
  </si>
  <si>
    <t>Imperva</t>
  </si>
  <si>
    <t>Provide proprietary File Firewall software required to ensure security of the District’s network drives.</t>
  </si>
  <si>
    <t>Provide proprietary Risk and Compliance system software that will provide greater visibility and security for the District’s many database solutions.</t>
  </si>
  <si>
    <t>13-58-01</t>
  </si>
  <si>
    <t>13-58-02</t>
  </si>
  <si>
    <t>13-58-03</t>
  </si>
  <si>
    <t>13-58-04</t>
  </si>
  <si>
    <t>13-58-05</t>
  </si>
  <si>
    <t>13-58-06</t>
  </si>
  <si>
    <t>13-58-07</t>
  </si>
  <si>
    <t>13-58-08</t>
  </si>
  <si>
    <t>Real Estate Administration &amp; Property Development</t>
  </si>
  <si>
    <t>Bard Consulting LLC</t>
  </si>
  <si>
    <t>Univision-KSOL-FM &amp; KBRG-FM</t>
  </si>
  <si>
    <t>Captain Phillip C. Hansen</t>
  </si>
  <si>
    <t>Thompson Coburn LLP</t>
  </si>
  <si>
    <t>Converge Medical Solutions LLC</t>
  </si>
  <si>
    <t>GSL Lithographers</t>
  </si>
  <si>
    <t>Alameda County Sheriff's Office</t>
  </si>
  <si>
    <t>13-58-09</t>
  </si>
  <si>
    <t>George Lythcott</t>
  </si>
  <si>
    <t>5952          PO# 6559</t>
  </si>
  <si>
    <t>5963          PO# 6M1053</t>
  </si>
  <si>
    <t>6028          PO# 6G1129</t>
  </si>
  <si>
    <t xml:space="preserve">Provide services to print 100,000 BART Destinations Guide brochures to replenish the supply available for distribution to BART stations.  </t>
  </si>
  <si>
    <t xml:space="preserve">Provide facilities for yearly firearms training for Police Officers.  </t>
  </si>
  <si>
    <t xml:space="preserve">Provide services to conduct a “due diligence” review of office space proposals to accommodate BART.  </t>
  </si>
  <si>
    <t xml:space="preserve">Provide radio advertising services to promote BART’s Blue Sky Festival commemorating Earth Day and Cinco de Mayo. </t>
  </si>
  <si>
    <t xml:space="preserve">Provide specialized legal services related to the Pirone Arbitration.  </t>
  </si>
  <si>
    <t xml:space="preserve">Provide specialized legal services related to Union issues and requests for the use of Federal funds.  </t>
  </si>
  <si>
    <t xml:space="preserve">Provide Contract Administration Services to support upcoming capital projects including eBART, the Hayward Maintenance Facility and various station improvement projects. </t>
  </si>
  <si>
    <t xml:space="preserve">Provide services to dispose medical wastes as required under State and local laws.  </t>
  </si>
  <si>
    <t xml:space="preserve">Provide the production of banners, signage, display boards and passports, etc. to promote BART’s Blue Sky Festival.  </t>
  </si>
  <si>
    <t>13-59-01</t>
  </si>
  <si>
    <t xml:space="preserve">Provide consulting services to perform security work for BART’s Police Department Security Project to address the District’s vulnerabilities related to internal web applications. </t>
  </si>
  <si>
    <t>13-60-01</t>
  </si>
  <si>
    <t>13-60-02</t>
  </si>
  <si>
    <t>13-60-03</t>
  </si>
  <si>
    <t>13-60-04</t>
  </si>
  <si>
    <t>13-60-05</t>
  </si>
  <si>
    <t>13-60-06</t>
  </si>
  <si>
    <t>13-60-07</t>
  </si>
  <si>
    <t>13-60-08</t>
  </si>
  <si>
    <t>Aerc Recycling Solutions</t>
  </si>
  <si>
    <t>Cumulus Media</t>
  </si>
  <si>
    <t>L&amp;W Environmental Services</t>
  </si>
  <si>
    <t>6056          PO# 7544</t>
  </si>
  <si>
    <t xml:space="preserve">Provide on-call services for handling and disposal of universal wastes as required by state and federal statutes.  </t>
  </si>
  <si>
    <t xml:space="preserve">Provide 14 15-second advertising spots to promote BART’s Blue Sky Festival sweepstakes and contest. </t>
  </si>
  <si>
    <t xml:space="preserve">Provide 297 15-second radio advertising spots and 20 5-second direct-streaming on website on two local stations to promote BART’s Blue Sky Festival sweepstakes. </t>
  </si>
  <si>
    <t>Provide 112 15-second radio advertising spots on four local stations to promote BART’s Blue Sky Festival sweepstakes and contest commemorating Earth Day.</t>
  </si>
  <si>
    <t>Provide 79 15-second radio advertising spots on four local stations to promote BART’s Blue Sky Festival sweepstakes and contest commemorating Earth Day.</t>
  </si>
  <si>
    <t xml:space="preserve">Provide services to remove hazardous waste materials from elevator and escalator pits. </t>
  </si>
  <si>
    <t>13-61-01</t>
  </si>
  <si>
    <t>13-61-02</t>
  </si>
  <si>
    <t>13-61-03</t>
  </si>
  <si>
    <t>Progistics Distribution (Formerly Sunny Express)</t>
  </si>
  <si>
    <t>5931          PO# 7137</t>
  </si>
  <si>
    <t xml:space="preserve">Provide transcription and reporting services in support of union negotiations and other matters. </t>
  </si>
  <si>
    <t>13-62-01</t>
  </si>
  <si>
    <t>13-62-02</t>
  </si>
  <si>
    <t>13-62-03</t>
  </si>
  <si>
    <t>13-62-04</t>
  </si>
  <si>
    <t>13-62-05</t>
  </si>
  <si>
    <t>Non-Vehicle Revenue Maintenance (0802871)</t>
  </si>
  <si>
    <t>R. Sinclair Group, Inc.</t>
  </si>
  <si>
    <t>Carousel Industries</t>
  </si>
  <si>
    <t>B &amp; B Print Source</t>
  </si>
  <si>
    <t>Plasser American Corporation</t>
  </si>
  <si>
    <t>Provide a three (3) year lease of one (1) vehicle for use by District staff for site visits in support of the WSX Project.</t>
  </si>
  <si>
    <t xml:space="preserve">Provide on-call services of an Ombudsperson to support the District’s efforts to resolve construction contractor/subcontractor disputes.  </t>
  </si>
  <si>
    <t>Provide renewal of network equipment upgrades and maintenance support services.</t>
  </si>
  <si>
    <t>Provide the printing of 25,000 BART Kids Activity Books for use at community fairs, festivals, and for BART orientation training.</t>
  </si>
  <si>
    <t xml:space="preserve">Provide a five (5) day training class on Tamper vehicle maintenance to junior mechanics for maintenance of District track support maintenance equipment. </t>
  </si>
  <si>
    <t>13-63-01</t>
  </si>
  <si>
    <t>13-63-02</t>
  </si>
  <si>
    <t>Planning &amp; Development - Program Management</t>
  </si>
  <si>
    <t xml:space="preserve">Shiels Obletz Johnsen, Inc. (SOJ) </t>
  </si>
  <si>
    <t xml:space="preserve">Provide proprietary software license for Adobe Acrobat Professional.  </t>
  </si>
  <si>
    <t xml:space="preserve">Provide services to develop method(s) for generating potential Local Improvement/Assessment District or other funding strategies toward a new streetcar loop spanning Oakland and Emeryville. </t>
  </si>
  <si>
    <t>13-64-01</t>
  </si>
  <si>
    <t>13-64-02</t>
  </si>
  <si>
    <t>13-64-03</t>
  </si>
  <si>
    <t>Universal Site Services</t>
  </si>
  <si>
    <t>Latus Solutions</t>
  </si>
  <si>
    <t xml:space="preserve">Provide technical consulting services associated with BART’s Maximo System to support Rolling Stock &amp; Shops. </t>
  </si>
  <si>
    <t xml:space="preserve">Provide interim plaza cleaning services to East Bay Stations for three (3) months.  </t>
  </si>
  <si>
    <t>Provide NAC software to authenticate all devices that attempt to connect to the BART network and terminate illicit un-authorized device connections.</t>
  </si>
  <si>
    <t>13-65-01</t>
  </si>
  <si>
    <t>13-65-02</t>
  </si>
  <si>
    <t>13-65-03</t>
  </si>
  <si>
    <t>13-65-04</t>
  </si>
  <si>
    <t>Proofpoint</t>
  </si>
  <si>
    <t>Titan 360</t>
  </si>
  <si>
    <t>J Kaeuper &amp; Company</t>
  </si>
  <si>
    <t>6205          PO# 6559</t>
  </si>
  <si>
    <t>6266          PO# 9120</t>
  </si>
  <si>
    <t xml:space="preserve">Provide facilities for yearly firearms training for Police Officers. </t>
  </si>
  <si>
    <t xml:space="preserve">Provide specialized virus scanning and spam detection software.  </t>
  </si>
  <si>
    <t xml:space="preserve">Provide services to print additional Blue Sky car cards to continue promoting BART’s environmental benefits.  </t>
  </si>
  <si>
    <t xml:space="preserve">Provide independent appraisal services in response to a request by Caltrans due to changes in valuation of an easement for the Oakland Airport Connector Project. </t>
  </si>
  <si>
    <t>13-66-01</t>
  </si>
  <si>
    <t>13-66-02</t>
  </si>
  <si>
    <t>13-66-03</t>
  </si>
  <si>
    <t>13-66-04</t>
  </si>
  <si>
    <t>13-66-05</t>
  </si>
  <si>
    <t>13-66-06</t>
  </si>
  <si>
    <t>13-66-07</t>
  </si>
  <si>
    <t>Bay Alarm</t>
  </si>
  <si>
    <t>Keyes, Fox &amp; Wiedman, LLP</t>
  </si>
  <si>
    <t>Elation Systems</t>
  </si>
  <si>
    <t>Jocelyn E. Roland, Ph.D., ABPP</t>
  </si>
  <si>
    <t>Navex Global, Inc.</t>
  </si>
  <si>
    <t>Process 39</t>
  </si>
  <si>
    <t>6173          PO# 6M1056</t>
  </si>
  <si>
    <t>6193          PO# 6M1047</t>
  </si>
  <si>
    <t>6242          PO# 6M4295</t>
  </si>
  <si>
    <t>Provide the installation of monitored intrusion cameras in key areas to combat the rising theft of copper cabling from District facilities.</t>
  </si>
  <si>
    <t xml:space="preserve">Provide legal services relating to NCPA Solar Carport Projects at the Orinda and Lafayette BART Stations. </t>
  </si>
  <si>
    <t xml:space="preserve">Provide a software license Agreement to implement a web-based electronic certified payroll tracking system to enable BART staff to monitor construction contractors’ workforce.  </t>
  </si>
  <si>
    <t xml:space="preserve">Provide legal services for expert witness services regarding Pirone Arbitration.  </t>
  </si>
  <si>
    <t xml:space="preserve">Provide proprietary software and maintenance support for online training to District staff.  </t>
  </si>
  <si>
    <t xml:space="preserve">Provide a renewal License Agreement for proprietary software and hardware support for the appliances that perform content filtering and antivirus protection for the Internet connection for BART.  </t>
  </si>
  <si>
    <t xml:space="preserve">Provide the design concept refinement and evaluation for the passenger information system on the new Rail Vehicles.  </t>
  </si>
  <si>
    <t>13-67-01</t>
  </si>
  <si>
    <t>13-67-02</t>
  </si>
  <si>
    <t>13-67-03</t>
  </si>
  <si>
    <t>13-67-04</t>
  </si>
  <si>
    <t>Athens Administrators</t>
  </si>
  <si>
    <t xml:space="preserve">Provide services to maintain and repair bicycle lockers and related equipment at various stations.  </t>
  </si>
  <si>
    <t xml:space="preserve">Provide applications support and software maintenance services for Mainframe software. </t>
  </si>
  <si>
    <t>Provide Workers’ Compensation Third-Party Administration (TPA) Services.</t>
  </si>
  <si>
    <t>Provide software to update the Automatic Fare Collection/Data Acquisition System to support the Clipper Card fare payment system.</t>
  </si>
  <si>
    <t>13-68-01</t>
  </si>
  <si>
    <t>13-68-02</t>
  </si>
  <si>
    <t>13-68-03</t>
  </si>
  <si>
    <t>Walker's Charter Service</t>
  </si>
  <si>
    <t>All West Coachlines</t>
  </si>
  <si>
    <t>Storer Coachways</t>
  </si>
  <si>
    <t>Provide temporary bus transport services between West Oakland and the San Francisco Transbay Terminal for BART patrons during the commute hours in the event that a strike is called by BART unions.</t>
  </si>
  <si>
    <t xml:space="preserve">Provide temporary bus transport services between West Oakland and El Cerrito Del Norte and Walnut Creek for BART patrons during the commute hours in the event that a strike is called by BART unions. </t>
  </si>
  <si>
    <r>
      <t xml:space="preserve">Provide temporary bus transport services between West Oakland and </t>
    </r>
    <r>
      <rPr>
        <sz val="10"/>
        <color indexed="8"/>
        <rFont val="Arial"/>
        <family val="2"/>
      </rPr>
      <t>Fremont, Walnut Creek, El Cerrito Del Norte, and Dublin Stations</t>
    </r>
    <r>
      <rPr>
        <sz val="10"/>
        <rFont val="Arial"/>
        <family val="2"/>
      </rPr>
      <t xml:space="preserve"> for BART patrons in the event that a strike is called by BART unions. </t>
    </r>
  </si>
  <si>
    <t>13-69-01</t>
  </si>
  <si>
    <t>13-69-02</t>
  </si>
  <si>
    <t>Dillingham and Murphy</t>
  </si>
  <si>
    <t>Rick Rice Communications dba Corporate Communications Consulting</t>
  </si>
  <si>
    <t>Provide specialized legal services to address recently filed charges of unfair labor practices in on-going union negotiations.</t>
  </si>
  <si>
    <t>Provide consulting services to create a strategic plan to ensure uniformity in the messaging from the BART Board, Staff and third-party advocates resolving labor negotiation issues.</t>
  </si>
  <si>
    <t>Total Items</t>
  </si>
  <si>
    <t>Total Count Less $25K</t>
  </si>
  <si>
    <t>Total Count Between $25K to $50K</t>
  </si>
  <si>
    <t>Total Count Between $50K to $100K</t>
  </si>
  <si>
    <t>Over $100K</t>
  </si>
  <si>
    <t>Sole Source</t>
  </si>
  <si>
    <t>Total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</si>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</sst>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6" formatCode="&quot;$&quot;#,##0_);[Red]\(&quot;$&quot;#,##0\)"/>
    <numFmt numFmtId="164" formatCode="[$$-409]#,##0"/>
    <numFmt numFmtId="165" formatCode="&quot;$&quot;#,##0"/>
    <numFmt numFmtId="166" formatCode="mm/dd/yy"/>
  </numFmts>
  <fonts count="16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vertAlign val="superscript"/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6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5" fontId="0" fillId="0" borderId="0" xfId="0" applyNumberFormat="1"/>
    <xf numFmtId="0" fontId="0" fillId="0" borderId="0" xfId="0" applyAlignment="1">
      <alignment horizontal="left"/>
    </xf>
    <xf numFmtId="9" fontId="0" fillId="0" borderId="0" xfId="0" applyNumberFormat="1"/>
    <xf numFmtId="165" fontId="2" fillId="0" borderId="1" xfId="0" applyNumberFormat="1" applyFont="1" applyBorder="1" applyAlignment="1" applyProtection="1">
      <alignment horizontal="center"/>
    </xf>
    <xf numFmtId="165" fontId="2" fillId="0" borderId="1" xfId="0" applyNumberFormat="1" applyFont="1" applyBorder="1" applyAlignment="1" applyProtection="1">
      <alignment horizontal="center" wrapText="1"/>
    </xf>
    <xf numFmtId="164" fontId="2" fillId="0" borderId="1" xfId="0" applyNumberFormat="1" applyFont="1" applyBorder="1" applyAlignment="1" applyProtection="1">
      <alignment horizontal="center"/>
    </xf>
    <xf numFmtId="9" fontId="2" fillId="0" borderId="1" xfId="0" applyNumberFormat="1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wrapText="1"/>
    </xf>
    <xf numFmtId="0" fontId="3" fillId="0" borderId="1" xfId="0" applyFont="1" applyBorder="1" applyAlignment="1">
      <alignment horizontal="right" wrapText="1"/>
    </xf>
    <xf numFmtId="49" fontId="0" fillId="0" borderId="0" xfId="0" applyNumberFormat="1" applyAlignment="1">
      <alignment horizontal="left"/>
    </xf>
    <xf numFmtId="49" fontId="2" fillId="0" borderId="1" xfId="0" applyNumberFormat="1" applyFont="1" applyBorder="1" applyAlignment="1" applyProtection="1">
      <alignment horizontal="center" wrapText="1"/>
    </xf>
    <xf numFmtId="49" fontId="4" fillId="0" borderId="1" xfId="0" applyNumberFormat="1" applyFont="1" applyBorder="1" applyAlignment="1">
      <alignment vertical="center" wrapText="1"/>
    </xf>
    <xf numFmtId="0" fontId="4" fillId="0" borderId="0" xfId="0" applyFont="1"/>
    <xf numFmtId="9" fontId="4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65" fontId="5" fillId="0" borderId="0" xfId="0" applyNumberFormat="1" applyFont="1"/>
    <xf numFmtId="0" fontId="5" fillId="0" borderId="0" xfId="0" applyFont="1"/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/>
    </xf>
    <xf numFmtId="9" fontId="5" fillId="0" borderId="0" xfId="0" applyNumberFormat="1" applyFont="1"/>
    <xf numFmtId="0" fontId="5" fillId="0" borderId="0" xfId="0" applyFont="1" applyAlignment="1">
      <alignment horizontal="center"/>
    </xf>
    <xf numFmtId="5" fontId="4" fillId="0" borderId="1" xfId="0" applyNumberFormat="1" applyFont="1" applyBorder="1"/>
    <xf numFmtId="0" fontId="5" fillId="0" borderId="1" xfId="0" applyFont="1" applyBorder="1" applyAlignment="1">
      <alignment wrapText="1"/>
    </xf>
    <xf numFmtId="5" fontId="0" fillId="0" borderId="0" xfId="0" applyNumberFormat="1"/>
    <xf numFmtId="5" fontId="6" fillId="0" borderId="0" xfId="0" applyNumberFormat="1" applyFont="1"/>
    <xf numFmtId="49" fontId="5" fillId="0" borderId="0" xfId="0" applyNumberFormat="1" applyFont="1" applyAlignment="1">
      <alignment horizontal="right"/>
    </xf>
    <xf numFmtId="0" fontId="0" fillId="0" borderId="0" xfId="0" applyAlignment="1"/>
    <xf numFmtId="165" fontId="6" fillId="0" borderId="0" xfId="0" applyNumberFormat="1" applyFont="1"/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5" fontId="4" fillId="0" borderId="1" xfId="0" applyNumberFormat="1" applyFont="1" applyBorder="1" applyAlignment="1">
      <alignment wrapText="1"/>
    </xf>
    <xf numFmtId="9" fontId="4" fillId="0" borderId="1" xfId="0" applyNumberFormat="1" applyFont="1" applyBorder="1" applyAlignment="1" applyProtection="1">
      <alignment wrapText="1"/>
    </xf>
    <xf numFmtId="6" fontId="4" fillId="0" borderId="1" xfId="0" applyNumberFormat="1" applyFont="1" applyBorder="1" applyAlignment="1">
      <alignment horizontal="center" wrapText="1"/>
    </xf>
    <xf numFmtId="166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5" fontId="4" fillId="0" borderId="1" xfId="0" applyNumberFormat="1" applyFont="1" applyBorder="1" applyAlignment="1">
      <alignment horizontal="right" wrapText="1"/>
    </xf>
    <xf numFmtId="165" fontId="4" fillId="0" borderId="1" xfId="0" applyNumberFormat="1" applyFont="1" applyBorder="1" applyAlignment="1" applyProtection="1">
      <alignment horizontal="right"/>
    </xf>
    <xf numFmtId="165" fontId="4" fillId="0" borderId="1" xfId="0" applyNumberFormat="1" applyFont="1" applyBorder="1" applyAlignment="1" applyProtection="1">
      <alignment horizontal="right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 applyProtection="1">
      <alignment horizontal="left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6" fontId="1" fillId="0" borderId="1" xfId="0" applyNumberFormat="1" applyFont="1" applyBorder="1" applyAlignment="1">
      <alignment horizontal="center" wrapText="1"/>
    </xf>
    <xf numFmtId="5" fontId="1" fillId="0" borderId="1" xfId="0" applyNumberFormat="1" applyFont="1" applyBorder="1" applyAlignment="1">
      <alignment wrapText="1"/>
    </xf>
    <xf numFmtId="5" fontId="1" fillId="0" borderId="1" xfId="0" applyNumberFormat="1" applyFont="1" applyBorder="1" applyAlignment="1">
      <alignment horizontal="right" wrapText="1"/>
    </xf>
    <xf numFmtId="9" fontId="1" fillId="0" borderId="1" xfId="0" applyNumberFormat="1" applyFont="1" applyBorder="1" applyAlignment="1" applyProtection="1">
      <alignment wrapText="1"/>
    </xf>
    <xf numFmtId="166" fontId="1" fillId="0" borderId="1" xfId="0" applyNumberFormat="1" applyFont="1" applyBorder="1" applyAlignment="1">
      <alignment horizontal="center" wrapText="1"/>
    </xf>
    <xf numFmtId="0" fontId="1" fillId="0" borderId="0" xfId="0" applyFont="1"/>
    <xf numFmtId="0" fontId="1" fillId="0" borderId="1" xfId="0" applyFont="1" applyBorder="1" applyAlignment="1" applyProtection="1">
      <alignment horizontal="center" wrapText="1"/>
    </xf>
    <xf numFmtId="165" fontId="1" fillId="0" borderId="1" xfId="0" applyNumberFormat="1" applyFont="1" applyBorder="1" applyAlignment="1" applyProtection="1">
      <alignment horizontal="right"/>
    </xf>
    <xf numFmtId="6" fontId="1" fillId="0" borderId="1" xfId="0" quotePrefix="1" applyNumberFormat="1" applyFont="1" applyBorder="1" applyAlignment="1">
      <alignment horizontal="center" wrapText="1"/>
    </xf>
    <xf numFmtId="165" fontId="4" fillId="0" borderId="2" xfId="0" applyNumberFormat="1" applyFont="1" applyBorder="1" applyAlignment="1" applyProtection="1">
      <alignment horizontal="right"/>
    </xf>
    <xf numFmtId="0" fontId="1" fillId="0" borderId="1" xfId="0" applyFont="1" applyBorder="1"/>
    <xf numFmtId="0" fontId="1" fillId="0" borderId="0" xfId="0" applyFont="1" applyBorder="1" applyAlignment="1">
      <alignment wrapText="1"/>
    </xf>
    <xf numFmtId="0" fontId="1" fillId="0" borderId="1" xfId="2" applyBorder="1"/>
    <xf numFmtId="0" fontId="10" fillId="0" borderId="1" xfId="2" applyFont="1" applyBorder="1" applyAlignment="1" applyProtection="1">
      <alignment horizontal="center" wrapText="1"/>
    </xf>
    <xf numFmtId="165" fontId="1" fillId="0" borderId="3" xfId="2" applyNumberFormat="1" applyBorder="1"/>
    <xf numFmtId="165" fontId="10" fillId="0" borderId="4" xfId="2" applyNumberFormat="1" applyFont="1" applyBorder="1" applyAlignment="1" applyProtection="1">
      <alignment horizontal="center"/>
    </xf>
    <xf numFmtId="0" fontId="1" fillId="0" borderId="0" xfId="2"/>
    <xf numFmtId="0" fontId="11" fillId="0" borderId="0" xfId="2" applyFont="1" applyBorder="1" applyAlignment="1"/>
    <xf numFmtId="0" fontId="12" fillId="0" borderId="0" xfId="2" applyFont="1" applyAlignment="1">
      <alignment horizontal="center"/>
    </xf>
    <xf numFmtId="6" fontId="12" fillId="0" borderId="0" xfId="2" applyNumberFormat="1" applyFont="1" applyAlignment="1">
      <alignment horizontal="center"/>
    </xf>
    <xf numFmtId="0" fontId="13" fillId="0" borderId="0" xfId="2" applyFont="1" applyBorder="1" applyAlignment="1">
      <alignment vertical="center"/>
    </xf>
    <xf numFmtId="0" fontId="11" fillId="0" borderId="0" xfId="2" applyFont="1"/>
    <xf numFmtId="0" fontId="14" fillId="0" borderId="0" xfId="2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1" fillId="0" borderId="0" xfId="2" applyAlignment="1">
      <alignment wrapText="1"/>
    </xf>
    <xf numFmtId="38" fontId="3" fillId="0" borderId="0" xfId="0" applyNumberFormat="1" applyFont="1" applyAlignment="1">
      <alignment horizontal="center"/>
    </xf>
    <xf numFmtId="165" fontId="3" fillId="0" borderId="0" xfId="0" applyNumberFormat="1" applyFont="1"/>
    <xf numFmtId="0" fontId="1" fillId="0" borderId="0" xfId="2" applyAlignment="1"/>
    <xf numFmtId="0" fontId="15" fillId="0" borderId="0" xfId="2" applyFont="1" applyBorder="1" applyAlignment="1">
      <alignment horizontal="left"/>
    </xf>
  </cellXfs>
  <cellStyles count="3">
    <cellStyle name="Normal" xfId="0" builtinId="0"/>
    <cellStyle name="Normal 2" xfId="2"/>
    <cellStyle name="Percent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549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8.7109375" style="12" customWidth="1"/>
    <col min="2" max="2" width="25.7109375" style="2" customWidth="1"/>
    <col min="3" max="3" width="22.85546875" customWidth="1"/>
    <col min="4" max="4" width="12.7109375" style="4" customWidth="1"/>
    <col min="5" max="5" width="58.42578125" style="2" customWidth="1"/>
    <col min="6" max="8" width="11.7109375" style="3" customWidth="1"/>
    <col min="9" max="9" width="11.5703125" customWidth="1"/>
    <col min="10" max="10" width="10.28515625" style="5" customWidth="1"/>
    <col min="11" max="11" width="6.28515625" style="1" customWidth="1"/>
    <col min="12" max="12" width="6.5703125" style="1" customWidth="1"/>
    <col min="13" max="13" width="10.5703125" customWidth="1"/>
    <col min="14" max="14" width="5.7109375" style="1" customWidth="1"/>
    <col min="15" max="15" width="12.42578125" customWidth="1"/>
    <col min="16" max="16" width="11.85546875" customWidth="1"/>
    <col min="17" max="17" width="11" customWidth="1"/>
  </cols>
  <sheetData>
    <row r="1" spans="1:17" ht="24" x14ac:dyDescent="0.2">
      <c r="A1" s="13" t="s">
        <v>0</v>
      </c>
      <c r="B1" s="10" t="s">
        <v>6</v>
      </c>
      <c r="C1" s="10" t="s">
        <v>7</v>
      </c>
      <c r="D1" s="10" t="s">
        <v>13</v>
      </c>
      <c r="E1" s="10" t="s">
        <v>8</v>
      </c>
      <c r="F1" s="6" t="s">
        <v>9</v>
      </c>
      <c r="G1" s="6" t="s">
        <v>10</v>
      </c>
      <c r="H1" s="7" t="s">
        <v>1</v>
      </c>
      <c r="I1" s="8" t="s">
        <v>11</v>
      </c>
      <c r="J1" s="9" t="s">
        <v>2</v>
      </c>
      <c r="K1" s="10" t="s">
        <v>16</v>
      </c>
      <c r="L1" s="10" t="s">
        <v>12</v>
      </c>
      <c r="M1" s="8" t="s">
        <v>3</v>
      </c>
      <c r="N1" s="8" t="s">
        <v>5</v>
      </c>
      <c r="O1" s="8" t="s">
        <v>14</v>
      </c>
      <c r="P1" s="8" t="s">
        <v>15</v>
      </c>
      <c r="Q1" s="8" t="s">
        <v>105</v>
      </c>
    </row>
    <row r="2" spans="1:17" ht="26.25" customHeight="1" x14ac:dyDescent="0.2">
      <c r="A2" s="43" t="s">
        <v>126</v>
      </c>
      <c r="B2" s="45" t="s">
        <v>48</v>
      </c>
      <c r="C2" s="45" t="s">
        <v>57</v>
      </c>
      <c r="D2" s="54" t="s">
        <v>131</v>
      </c>
      <c r="E2" s="46" t="s">
        <v>128</v>
      </c>
      <c r="F2" s="41">
        <v>45000</v>
      </c>
      <c r="G2" s="41">
        <v>24000</v>
      </c>
      <c r="H2" s="42">
        <f>24000+45000</f>
        <v>69000</v>
      </c>
      <c r="I2" s="35">
        <f t="shared" ref="I2:I14" si="0">G2+H2</f>
        <v>93000</v>
      </c>
      <c r="J2" s="36">
        <f t="shared" ref="J2:J14" si="1">IF(G2=0,100%,(I2-G2)/G2)</f>
        <v>2.875</v>
      </c>
      <c r="K2" s="48" t="s">
        <v>37</v>
      </c>
      <c r="L2" s="48" t="s">
        <v>37</v>
      </c>
      <c r="M2" s="38">
        <v>41455</v>
      </c>
      <c r="N2" s="48" t="s">
        <v>36</v>
      </c>
      <c r="O2" s="41">
        <v>45000</v>
      </c>
      <c r="P2" s="41"/>
      <c r="Q2" s="41"/>
    </row>
    <row r="3" spans="1:17" s="15" customFormat="1" ht="26.25" customHeight="1" x14ac:dyDescent="0.2">
      <c r="A3" s="43" t="s">
        <v>127</v>
      </c>
      <c r="B3" s="46" t="s">
        <v>17</v>
      </c>
      <c r="C3" s="45" t="s">
        <v>130</v>
      </c>
      <c r="D3" s="39">
        <v>4125</v>
      </c>
      <c r="E3" s="46" t="s">
        <v>129</v>
      </c>
      <c r="F3" s="35">
        <v>10000</v>
      </c>
      <c r="G3" s="40">
        <v>10000</v>
      </c>
      <c r="H3" s="35">
        <v>0</v>
      </c>
      <c r="I3" s="35">
        <f t="shared" si="0"/>
        <v>10000</v>
      </c>
      <c r="J3" s="36">
        <f t="shared" si="1"/>
        <v>0</v>
      </c>
      <c r="K3" s="48" t="s">
        <v>37</v>
      </c>
      <c r="L3" s="48" t="s">
        <v>37</v>
      </c>
      <c r="M3" s="38">
        <v>41476</v>
      </c>
      <c r="N3" s="48"/>
      <c r="O3" s="41">
        <v>10000</v>
      </c>
      <c r="P3" s="41"/>
      <c r="Q3" s="41"/>
    </row>
    <row r="4" spans="1:17" s="15" customFormat="1" ht="26.25" customHeight="1" x14ac:dyDescent="0.2">
      <c r="A4" s="43" t="s">
        <v>132</v>
      </c>
      <c r="B4" s="46" t="s">
        <v>124</v>
      </c>
      <c r="C4" s="44" t="s">
        <v>140</v>
      </c>
      <c r="D4" s="39">
        <v>3873</v>
      </c>
      <c r="E4" s="46" t="s">
        <v>136</v>
      </c>
      <c r="F4" s="35">
        <v>96200</v>
      </c>
      <c r="G4" s="40">
        <v>96200</v>
      </c>
      <c r="H4" s="35">
        <v>0</v>
      </c>
      <c r="I4" s="35">
        <f t="shared" si="0"/>
        <v>96200</v>
      </c>
      <c r="J4" s="36">
        <f t="shared" si="1"/>
        <v>0</v>
      </c>
      <c r="K4" s="48" t="s">
        <v>37</v>
      </c>
      <c r="L4" s="48" t="s">
        <v>37</v>
      </c>
      <c r="M4" s="38">
        <v>41455</v>
      </c>
      <c r="N4" s="37"/>
      <c r="O4" s="41">
        <v>96200</v>
      </c>
      <c r="P4" s="41"/>
      <c r="Q4" s="41"/>
    </row>
    <row r="5" spans="1:17" s="15" customFormat="1" ht="26.25" customHeight="1" x14ac:dyDescent="0.2">
      <c r="A5" s="43" t="s">
        <v>133</v>
      </c>
      <c r="B5" s="46" t="s">
        <v>39</v>
      </c>
      <c r="C5" s="44" t="s">
        <v>141</v>
      </c>
      <c r="D5" s="34">
        <v>3881</v>
      </c>
      <c r="E5" s="46" t="s">
        <v>137</v>
      </c>
      <c r="F5" s="35">
        <v>98000</v>
      </c>
      <c r="G5" s="40">
        <v>98000</v>
      </c>
      <c r="H5" s="35">
        <v>0</v>
      </c>
      <c r="I5" s="35">
        <f t="shared" si="0"/>
        <v>98000</v>
      </c>
      <c r="J5" s="36">
        <f t="shared" si="1"/>
        <v>0</v>
      </c>
      <c r="K5" s="48" t="s">
        <v>37</v>
      </c>
      <c r="L5" s="48" t="s">
        <v>37</v>
      </c>
      <c r="M5" s="38">
        <v>41090</v>
      </c>
      <c r="N5" s="37"/>
      <c r="O5" s="41">
        <v>98000</v>
      </c>
      <c r="P5" s="41"/>
      <c r="Q5" s="41"/>
    </row>
    <row r="6" spans="1:17" s="15" customFormat="1" ht="26.25" customHeight="1" x14ac:dyDescent="0.2">
      <c r="A6" s="43" t="s">
        <v>134</v>
      </c>
      <c r="B6" s="46" t="s">
        <v>39</v>
      </c>
      <c r="C6" s="44" t="s">
        <v>142</v>
      </c>
      <c r="D6" s="34">
        <v>3727</v>
      </c>
      <c r="E6" s="46" t="s">
        <v>138</v>
      </c>
      <c r="F6" s="35">
        <v>99064</v>
      </c>
      <c r="G6" s="40">
        <v>99064</v>
      </c>
      <c r="H6" s="35"/>
      <c r="I6" s="35">
        <f t="shared" si="0"/>
        <v>99064</v>
      </c>
      <c r="J6" s="36">
        <f t="shared" si="1"/>
        <v>0</v>
      </c>
      <c r="K6" s="48" t="s">
        <v>42</v>
      </c>
      <c r="L6" s="48" t="s">
        <v>42</v>
      </c>
      <c r="M6" s="38">
        <v>41465</v>
      </c>
      <c r="N6" s="37"/>
      <c r="O6" s="41">
        <v>99064</v>
      </c>
      <c r="P6" s="41"/>
      <c r="Q6" s="41"/>
    </row>
    <row r="7" spans="1:17" s="15" customFormat="1" ht="26.25" customHeight="1" x14ac:dyDescent="0.2">
      <c r="A7" s="43" t="s">
        <v>135</v>
      </c>
      <c r="B7" s="46" t="s">
        <v>17</v>
      </c>
      <c r="C7" s="44" t="s">
        <v>143</v>
      </c>
      <c r="D7" s="34">
        <v>3618</v>
      </c>
      <c r="E7" s="46" t="s">
        <v>139</v>
      </c>
      <c r="F7" s="49">
        <f>28000+28000+28000</f>
        <v>84000</v>
      </c>
      <c r="G7" s="40">
        <v>25000</v>
      </c>
      <c r="H7" s="35">
        <f>25000+28000+28000+28000</f>
        <v>109000</v>
      </c>
      <c r="I7" s="35">
        <f t="shared" si="0"/>
        <v>134000</v>
      </c>
      <c r="J7" s="36">
        <f t="shared" si="1"/>
        <v>4.3600000000000003</v>
      </c>
      <c r="K7" s="48" t="s">
        <v>37</v>
      </c>
      <c r="L7" s="48" t="s">
        <v>37</v>
      </c>
      <c r="M7" s="38">
        <v>41090</v>
      </c>
      <c r="N7" s="48" t="s">
        <v>64</v>
      </c>
      <c r="O7" s="41">
        <f>28000+28000</f>
        <v>56000</v>
      </c>
      <c r="P7" s="55">
        <v>28000</v>
      </c>
      <c r="Q7" s="41"/>
    </row>
    <row r="8" spans="1:17" s="15" customFormat="1" ht="18" customHeight="1" x14ac:dyDescent="0.2">
      <c r="A8" s="43" t="s">
        <v>144</v>
      </c>
      <c r="B8" s="46" t="s">
        <v>43</v>
      </c>
      <c r="C8" s="44"/>
      <c r="D8" s="34"/>
      <c r="E8" s="53"/>
      <c r="F8" s="35"/>
      <c r="G8" s="40"/>
      <c r="H8" s="35"/>
      <c r="I8" s="35"/>
      <c r="J8" s="36"/>
      <c r="K8" s="48"/>
      <c r="L8" s="48"/>
      <c r="M8" s="38"/>
      <c r="N8" s="37"/>
      <c r="O8" s="41"/>
      <c r="P8" s="41"/>
      <c r="Q8" s="41"/>
    </row>
    <row r="9" spans="1:17" s="15" customFormat="1" ht="26.25" customHeight="1" x14ac:dyDescent="0.2">
      <c r="A9" s="43" t="s">
        <v>145</v>
      </c>
      <c r="B9" s="46" t="s">
        <v>20</v>
      </c>
      <c r="C9" s="44" t="s">
        <v>203</v>
      </c>
      <c r="D9" s="34">
        <v>3791</v>
      </c>
      <c r="E9" s="46" t="s">
        <v>174</v>
      </c>
      <c r="F9" s="35">
        <f>12000*3</f>
        <v>36000</v>
      </c>
      <c r="G9" s="40">
        <f>12000*3</f>
        <v>36000</v>
      </c>
      <c r="H9" s="35">
        <v>0</v>
      </c>
      <c r="I9" s="35">
        <f t="shared" si="0"/>
        <v>36000</v>
      </c>
      <c r="J9" s="36">
        <f t="shared" si="1"/>
        <v>0</v>
      </c>
      <c r="K9" s="48" t="s">
        <v>37</v>
      </c>
      <c r="L9" s="48" t="s">
        <v>37</v>
      </c>
      <c r="M9" s="38">
        <v>41455</v>
      </c>
      <c r="N9" s="48" t="s">
        <v>64</v>
      </c>
      <c r="O9" s="41">
        <v>12000</v>
      </c>
      <c r="P9" s="41">
        <v>12000</v>
      </c>
      <c r="Q9" s="41">
        <v>12000</v>
      </c>
    </row>
    <row r="10" spans="1:17" s="15" customFormat="1" ht="26.25" customHeight="1" x14ac:dyDescent="0.2">
      <c r="A10" s="43" t="s">
        <v>146</v>
      </c>
      <c r="B10" s="46" t="s">
        <v>20</v>
      </c>
      <c r="C10" s="44" t="s">
        <v>204</v>
      </c>
      <c r="D10" s="47">
        <v>3793</v>
      </c>
      <c r="E10" s="46" t="s">
        <v>175</v>
      </c>
      <c r="F10" s="35">
        <f>35000*3</f>
        <v>105000</v>
      </c>
      <c r="G10" s="40">
        <f>35000*3</f>
        <v>105000</v>
      </c>
      <c r="H10" s="35">
        <v>0</v>
      </c>
      <c r="I10" s="35">
        <f t="shared" si="0"/>
        <v>105000</v>
      </c>
      <c r="J10" s="36">
        <f t="shared" si="1"/>
        <v>0</v>
      </c>
      <c r="K10" s="48" t="s">
        <v>37</v>
      </c>
      <c r="L10" s="48" t="s">
        <v>37</v>
      </c>
      <c r="M10" s="38">
        <v>41455</v>
      </c>
      <c r="N10" s="48" t="s">
        <v>64</v>
      </c>
      <c r="O10" s="41">
        <v>35000</v>
      </c>
      <c r="P10" s="41">
        <v>35000</v>
      </c>
      <c r="Q10" s="41">
        <v>35000</v>
      </c>
    </row>
    <row r="11" spans="1:17" s="15" customFormat="1" ht="18" customHeight="1" x14ac:dyDescent="0.2">
      <c r="A11" s="43" t="s">
        <v>147</v>
      </c>
      <c r="B11" s="46" t="s">
        <v>20</v>
      </c>
      <c r="C11" s="44" t="s">
        <v>205</v>
      </c>
      <c r="D11" s="47">
        <v>3798</v>
      </c>
      <c r="E11" s="46" t="s">
        <v>176</v>
      </c>
      <c r="F11" s="35">
        <f>7000*3</f>
        <v>21000</v>
      </c>
      <c r="G11" s="40">
        <f>7000*3</f>
        <v>21000</v>
      </c>
      <c r="H11" s="35">
        <v>0</v>
      </c>
      <c r="I11" s="35">
        <f t="shared" si="0"/>
        <v>21000</v>
      </c>
      <c r="J11" s="36">
        <f t="shared" si="1"/>
        <v>0</v>
      </c>
      <c r="K11" s="48" t="s">
        <v>37</v>
      </c>
      <c r="L11" s="48" t="s">
        <v>37</v>
      </c>
      <c r="M11" s="38">
        <v>41455</v>
      </c>
      <c r="N11" s="48" t="s">
        <v>64</v>
      </c>
      <c r="O11" s="41">
        <v>7000</v>
      </c>
      <c r="P11" s="41">
        <v>7000</v>
      </c>
      <c r="Q11" s="41">
        <v>7000</v>
      </c>
    </row>
    <row r="12" spans="1:17" s="15" customFormat="1" ht="26.25" customHeight="1" x14ac:dyDescent="0.2">
      <c r="A12" s="43" t="s">
        <v>148</v>
      </c>
      <c r="B12" s="46" t="s">
        <v>20</v>
      </c>
      <c r="C12" s="44" t="s">
        <v>122</v>
      </c>
      <c r="D12" s="47">
        <v>3799</v>
      </c>
      <c r="E12" s="46" t="s">
        <v>177</v>
      </c>
      <c r="F12" s="35">
        <f>35000*3</f>
        <v>105000</v>
      </c>
      <c r="G12" s="40">
        <f>35000*3</f>
        <v>105000</v>
      </c>
      <c r="H12" s="35">
        <v>0</v>
      </c>
      <c r="I12" s="35">
        <f t="shared" si="0"/>
        <v>105000</v>
      </c>
      <c r="J12" s="36">
        <f t="shared" si="1"/>
        <v>0</v>
      </c>
      <c r="K12" s="48" t="s">
        <v>37</v>
      </c>
      <c r="L12" s="48" t="s">
        <v>37</v>
      </c>
      <c r="M12" s="38">
        <v>41455</v>
      </c>
      <c r="N12" s="48" t="s">
        <v>64</v>
      </c>
      <c r="O12" s="41">
        <v>35000</v>
      </c>
      <c r="P12" s="41">
        <v>35000</v>
      </c>
      <c r="Q12" s="41">
        <v>35000</v>
      </c>
    </row>
    <row r="13" spans="1:17" s="15" customFormat="1" ht="26.25" customHeight="1" x14ac:dyDescent="0.2">
      <c r="A13" s="43" t="s">
        <v>149</v>
      </c>
      <c r="B13" s="46" t="s">
        <v>17</v>
      </c>
      <c r="C13" s="44" t="s">
        <v>206</v>
      </c>
      <c r="D13" s="47">
        <v>3895</v>
      </c>
      <c r="E13" s="46" t="s">
        <v>202</v>
      </c>
      <c r="F13" s="35">
        <f>10000*3</f>
        <v>30000</v>
      </c>
      <c r="G13" s="40">
        <f>10000*3</f>
        <v>30000</v>
      </c>
      <c r="H13" s="35">
        <v>0</v>
      </c>
      <c r="I13" s="35">
        <f t="shared" si="0"/>
        <v>30000</v>
      </c>
      <c r="J13" s="36">
        <f t="shared" si="1"/>
        <v>0</v>
      </c>
      <c r="K13" s="48" t="s">
        <v>37</v>
      </c>
      <c r="L13" s="48" t="s">
        <v>37</v>
      </c>
      <c r="M13" s="38">
        <v>41455</v>
      </c>
      <c r="N13" s="48" t="s">
        <v>64</v>
      </c>
      <c r="O13" s="41">
        <v>10000</v>
      </c>
      <c r="P13" s="41">
        <v>10000</v>
      </c>
      <c r="Q13" s="41">
        <v>10000</v>
      </c>
    </row>
    <row r="14" spans="1:17" s="15" customFormat="1" ht="26.25" customHeight="1" x14ac:dyDescent="0.2">
      <c r="A14" s="43" t="s">
        <v>150</v>
      </c>
      <c r="B14" s="46" t="s">
        <v>40</v>
      </c>
      <c r="C14" s="44" t="s">
        <v>207</v>
      </c>
      <c r="D14" s="47">
        <v>3893</v>
      </c>
      <c r="E14" s="46" t="s">
        <v>178</v>
      </c>
      <c r="F14" s="35">
        <f>20000*3</f>
        <v>60000</v>
      </c>
      <c r="G14" s="40">
        <f>20000*3</f>
        <v>60000</v>
      </c>
      <c r="H14" s="35">
        <v>0</v>
      </c>
      <c r="I14" s="35">
        <f t="shared" si="0"/>
        <v>60000</v>
      </c>
      <c r="J14" s="36">
        <f t="shared" si="1"/>
        <v>0</v>
      </c>
      <c r="K14" s="48" t="s">
        <v>37</v>
      </c>
      <c r="L14" s="48" t="s">
        <v>42</v>
      </c>
      <c r="M14" s="38">
        <v>41455</v>
      </c>
      <c r="N14" s="48" t="s">
        <v>64</v>
      </c>
      <c r="O14" s="41">
        <v>20000</v>
      </c>
      <c r="P14" s="41">
        <v>20000</v>
      </c>
      <c r="Q14" s="41">
        <v>20000</v>
      </c>
    </row>
    <row r="15" spans="1:17" s="15" customFormat="1" ht="18" customHeight="1" x14ac:dyDescent="0.2">
      <c r="A15" s="43" t="s">
        <v>151</v>
      </c>
      <c r="B15" s="46" t="s">
        <v>45</v>
      </c>
      <c r="C15" s="44" t="s">
        <v>120</v>
      </c>
      <c r="D15" s="47">
        <v>3914</v>
      </c>
      <c r="E15" s="46" t="s">
        <v>179</v>
      </c>
      <c r="F15" s="35">
        <f>10500*3</f>
        <v>31500</v>
      </c>
      <c r="G15" s="40">
        <f>10500*3</f>
        <v>31500</v>
      </c>
      <c r="H15" s="35">
        <v>0</v>
      </c>
      <c r="I15" s="35">
        <f t="shared" ref="I15:I22" si="2">G15+H15</f>
        <v>31500</v>
      </c>
      <c r="J15" s="36">
        <f t="shared" ref="J15:J22" si="3">IF(G15=0,100%,(I15-G15)/G15)</f>
        <v>0</v>
      </c>
      <c r="K15" s="48" t="s">
        <v>37</v>
      </c>
      <c r="L15" s="48" t="s">
        <v>37</v>
      </c>
      <c r="M15" s="38">
        <v>41455</v>
      </c>
      <c r="N15" s="48" t="s">
        <v>64</v>
      </c>
      <c r="O15" s="41">
        <v>10500</v>
      </c>
      <c r="P15" s="41">
        <v>10500</v>
      </c>
      <c r="Q15" s="41">
        <v>10500</v>
      </c>
    </row>
    <row r="16" spans="1:17" s="15" customFormat="1" ht="18" customHeight="1" x14ac:dyDescent="0.2">
      <c r="A16" s="43" t="s">
        <v>152</v>
      </c>
      <c r="B16" s="46" t="s">
        <v>45</v>
      </c>
      <c r="C16" s="44" t="s">
        <v>119</v>
      </c>
      <c r="D16" s="47">
        <v>3915</v>
      </c>
      <c r="E16" s="46" t="s">
        <v>180</v>
      </c>
      <c r="F16" s="35">
        <f>10500*3</f>
        <v>31500</v>
      </c>
      <c r="G16" s="40">
        <f>10500*3</f>
        <v>31500</v>
      </c>
      <c r="H16" s="35">
        <v>0</v>
      </c>
      <c r="I16" s="35">
        <f t="shared" si="2"/>
        <v>31500</v>
      </c>
      <c r="J16" s="36">
        <f t="shared" si="3"/>
        <v>0</v>
      </c>
      <c r="K16" s="48" t="s">
        <v>37</v>
      </c>
      <c r="L16" s="48" t="s">
        <v>37</v>
      </c>
      <c r="M16" s="38">
        <v>41455</v>
      </c>
      <c r="N16" s="48" t="s">
        <v>64</v>
      </c>
      <c r="O16" s="41">
        <v>10500</v>
      </c>
      <c r="P16" s="41">
        <v>10500</v>
      </c>
      <c r="Q16" s="41">
        <v>10500</v>
      </c>
    </row>
    <row r="17" spans="1:17" s="15" customFormat="1" ht="26.25" customHeight="1" x14ac:dyDescent="0.2">
      <c r="A17" s="43" t="s">
        <v>153</v>
      </c>
      <c r="B17" s="46" t="s">
        <v>20</v>
      </c>
      <c r="C17" s="44" t="s">
        <v>122</v>
      </c>
      <c r="D17" s="47">
        <v>3928</v>
      </c>
      <c r="E17" s="46" t="s">
        <v>181</v>
      </c>
      <c r="F17" s="35">
        <f>12000*3</f>
        <v>36000</v>
      </c>
      <c r="G17" s="40">
        <f>12000*3</f>
        <v>36000</v>
      </c>
      <c r="H17" s="35">
        <v>0</v>
      </c>
      <c r="I17" s="35">
        <f t="shared" si="2"/>
        <v>36000</v>
      </c>
      <c r="J17" s="36">
        <f t="shared" si="3"/>
        <v>0</v>
      </c>
      <c r="K17" s="48" t="s">
        <v>37</v>
      </c>
      <c r="L17" s="48" t="s">
        <v>37</v>
      </c>
      <c r="M17" s="38">
        <v>41455</v>
      </c>
      <c r="N17" s="48" t="s">
        <v>64</v>
      </c>
      <c r="O17" s="41">
        <v>12000</v>
      </c>
      <c r="P17" s="41">
        <v>12000</v>
      </c>
      <c r="Q17" s="41">
        <v>12000</v>
      </c>
    </row>
    <row r="18" spans="1:17" s="15" customFormat="1" ht="18" customHeight="1" x14ac:dyDescent="0.2">
      <c r="A18" s="43" t="s">
        <v>154</v>
      </c>
      <c r="B18" s="46" t="s">
        <v>17</v>
      </c>
      <c r="C18" s="44" t="s">
        <v>93</v>
      </c>
      <c r="D18" s="47">
        <v>3940</v>
      </c>
      <c r="E18" s="46" t="s">
        <v>182</v>
      </c>
      <c r="F18" s="35">
        <f>25000*3</f>
        <v>75000</v>
      </c>
      <c r="G18" s="40">
        <f>25000*3</f>
        <v>75000</v>
      </c>
      <c r="H18" s="35">
        <v>0</v>
      </c>
      <c r="I18" s="35">
        <f t="shared" si="2"/>
        <v>75000</v>
      </c>
      <c r="J18" s="36">
        <f t="shared" si="3"/>
        <v>0</v>
      </c>
      <c r="K18" s="48" t="s">
        <v>37</v>
      </c>
      <c r="L18" s="48" t="s">
        <v>37</v>
      </c>
      <c r="M18" s="38">
        <v>41455</v>
      </c>
      <c r="N18" s="48" t="s">
        <v>64</v>
      </c>
      <c r="O18" s="41">
        <v>25000</v>
      </c>
      <c r="P18" s="41">
        <v>25000</v>
      </c>
      <c r="Q18" s="41">
        <v>25000</v>
      </c>
    </row>
    <row r="19" spans="1:17" s="15" customFormat="1" ht="26.25" customHeight="1" x14ac:dyDescent="0.2">
      <c r="A19" s="43" t="s">
        <v>155</v>
      </c>
      <c r="B19" s="46" t="s">
        <v>17</v>
      </c>
      <c r="C19" s="44" t="s">
        <v>208</v>
      </c>
      <c r="D19" s="47">
        <v>3944</v>
      </c>
      <c r="E19" s="46" t="s">
        <v>183</v>
      </c>
      <c r="F19" s="35">
        <f>35000*3</f>
        <v>105000</v>
      </c>
      <c r="G19" s="40">
        <f>35000*3</f>
        <v>105000</v>
      </c>
      <c r="H19" s="35">
        <v>0</v>
      </c>
      <c r="I19" s="35">
        <f t="shared" si="2"/>
        <v>105000</v>
      </c>
      <c r="J19" s="36">
        <f t="shared" si="3"/>
        <v>0</v>
      </c>
      <c r="K19" s="48" t="s">
        <v>37</v>
      </c>
      <c r="L19" s="48" t="s">
        <v>37</v>
      </c>
      <c r="M19" s="38">
        <v>41455</v>
      </c>
      <c r="N19" s="48" t="s">
        <v>64</v>
      </c>
      <c r="O19" s="41">
        <v>35000</v>
      </c>
      <c r="P19" s="41">
        <v>35000</v>
      </c>
      <c r="Q19" s="41">
        <v>35000</v>
      </c>
    </row>
    <row r="20" spans="1:17" s="15" customFormat="1" ht="26.25" customHeight="1" x14ac:dyDescent="0.2">
      <c r="A20" s="43" t="s">
        <v>156</v>
      </c>
      <c r="B20" s="46" t="s">
        <v>17</v>
      </c>
      <c r="C20" s="44" t="s">
        <v>209</v>
      </c>
      <c r="D20" s="47">
        <v>3945</v>
      </c>
      <c r="E20" s="46" t="s">
        <v>184</v>
      </c>
      <c r="F20" s="35">
        <f>8000*3</f>
        <v>24000</v>
      </c>
      <c r="G20" s="40">
        <f>8000*3</f>
        <v>24000</v>
      </c>
      <c r="H20" s="35">
        <v>0</v>
      </c>
      <c r="I20" s="35">
        <f t="shared" si="2"/>
        <v>24000</v>
      </c>
      <c r="J20" s="36">
        <f t="shared" si="3"/>
        <v>0</v>
      </c>
      <c r="K20" s="48" t="s">
        <v>37</v>
      </c>
      <c r="L20" s="48" t="s">
        <v>37</v>
      </c>
      <c r="M20" s="38">
        <v>41455</v>
      </c>
      <c r="N20" s="48" t="s">
        <v>64</v>
      </c>
      <c r="O20" s="41">
        <v>8000</v>
      </c>
      <c r="P20" s="41">
        <v>8000</v>
      </c>
      <c r="Q20" s="41">
        <v>8000</v>
      </c>
    </row>
    <row r="21" spans="1:17" s="15" customFormat="1" ht="26.25" customHeight="1" x14ac:dyDescent="0.2">
      <c r="A21" s="43" t="s">
        <v>157</v>
      </c>
      <c r="B21" s="46" t="s">
        <v>18</v>
      </c>
      <c r="C21" s="44" t="s">
        <v>210</v>
      </c>
      <c r="D21" s="47">
        <v>3968</v>
      </c>
      <c r="E21" s="46" t="s">
        <v>185</v>
      </c>
      <c r="F21" s="35">
        <v>20000</v>
      </c>
      <c r="G21" s="40">
        <v>20000</v>
      </c>
      <c r="H21" s="35">
        <v>0</v>
      </c>
      <c r="I21" s="35">
        <f t="shared" si="2"/>
        <v>20000</v>
      </c>
      <c r="J21" s="36">
        <f t="shared" si="3"/>
        <v>0</v>
      </c>
      <c r="K21" s="48" t="s">
        <v>37</v>
      </c>
      <c r="L21" s="48" t="s">
        <v>37</v>
      </c>
      <c r="M21" s="38">
        <v>41455</v>
      </c>
      <c r="N21" s="37"/>
      <c r="O21" s="41">
        <v>20000</v>
      </c>
      <c r="P21" s="41"/>
      <c r="Q21" s="41"/>
    </row>
    <row r="22" spans="1:17" s="15" customFormat="1" ht="18" customHeight="1" x14ac:dyDescent="0.2">
      <c r="A22" s="43" t="s">
        <v>158</v>
      </c>
      <c r="B22" s="46" t="s">
        <v>75</v>
      </c>
      <c r="C22" s="44" t="s">
        <v>211</v>
      </c>
      <c r="D22" s="47">
        <v>3997</v>
      </c>
      <c r="E22" s="46" t="s">
        <v>186</v>
      </c>
      <c r="F22" s="35">
        <v>48810</v>
      </c>
      <c r="G22" s="40">
        <v>48810</v>
      </c>
      <c r="H22" s="35">
        <v>0</v>
      </c>
      <c r="I22" s="35">
        <f t="shared" si="2"/>
        <v>48810</v>
      </c>
      <c r="J22" s="36">
        <f t="shared" si="3"/>
        <v>0</v>
      </c>
      <c r="K22" s="48" t="s">
        <v>37</v>
      </c>
      <c r="L22" s="48" t="s">
        <v>37</v>
      </c>
      <c r="M22" s="38">
        <v>41455</v>
      </c>
      <c r="N22" s="37"/>
      <c r="O22" s="41">
        <v>48810</v>
      </c>
      <c r="P22" s="41"/>
      <c r="Q22" s="41"/>
    </row>
    <row r="23" spans="1:17" s="15" customFormat="1" ht="26.25" customHeight="1" x14ac:dyDescent="0.2">
      <c r="A23" s="43" t="s">
        <v>159</v>
      </c>
      <c r="B23" s="46" t="s">
        <v>65</v>
      </c>
      <c r="C23" s="44" t="s">
        <v>212</v>
      </c>
      <c r="D23" s="47">
        <v>4011</v>
      </c>
      <c r="E23" s="46" t="s">
        <v>187</v>
      </c>
      <c r="F23" s="49">
        <f>13752*3</f>
        <v>41256</v>
      </c>
      <c r="G23" s="50">
        <f>13752*3</f>
        <v>41256</v>
      </c>
      <c r="H23" s="49">
        <v>0</v>
      </c>
      <c r="I23" s="49">
        <f t="shared" ref="I23:I29" si="4">G23+H23</f>
        <v>41256</v>
      </c>
      <c r="J23" s="51">
        <f t="shared" ref="J23:J29" si="5">IF(G23=0,100%,(I23-G23)/G23)</f>
        <v>0</v>
      </c>
      <c r="K23" s="48" t="s">
        <v>37</v>
      </c>
      <c r="L23" s="48" t="s">
        <v>37</v>
      </c>
      <c r="M23" s="52">
        <v>41455</v>
      </c>
      <c r="N23" s="48" t="s">
        <v>64</v>
      </c>
      <c r="O23" s="41">
        <v>13752</v>
      </c>
      <c r="P23" s="41">
        <v>13752</v>
      </c>
      <c r="Q23" s="41">
        <v>13752</v>
      </c>
    </row>
    <row r="24" spans="1:17" s="15" customFormat="1" ht="26.25" customHeight="1" x14ac:dyDescent="0.2">
      <c r="A24" s="43" t="s">
        <v>160</v>
      </c>
      <c r="B24" s="46" t="s">
        <v>48</v>
      </c>
      <c r="C24" s="44" t="s">
        <v>60</v>
      </c>
      <c r="D24" s="47">
        <v>4020</v>
      </c>
      <c r="E24" s="46" t="s">
        <v>188</v>
      </c>
      <c r="F24" s="49">
        <v>10000</v>
      </c>
      <c r="G24" s="50">
        <v>10000</v>
      </c>
      <c r="H24" s="49">
        <v>0</v>
      </c>
      <c r="I24" s="49">
        <f t="shared" si="4"/>
        <v>10000</v>
      </c>
      <c r="J24" s="51">
        <f t="shared" si="5"/>
        <v>0</v>
      </c>
      <c r="K24" s="48" t="s">
        <v>37</v>
      </c>
      <c r="L24" s="48" t="s">
        <v>37</v>
      </c>
      <c r="M24" s="52">
        <v>41274</v>
      </c>
      <c r="N24" s="48"/>
      <c r="O24" s="41">
        <v>10000</v>
      </c>
      <c r="P24" s="41"/>
      <c r="Q24" s="41"/>
    </row>
    <row r="25" spans="1:17" s="15" customFormat="1" ht="26.25" customHeight="1" x14ac:dyDescent="0.2">
      <c r="A25" s="43" t="s">
        <v>161</v>
      </c>
      <c r="B25" s="46" t="s">
        <v>48</v>
      </c>
      <c r="C25" s="44" t="s">
        <v>58</v>
      </c>
      <c r="D25" s="47">
        <v>4028</v>
      </c>
      <c r="E25" s="46" t="s">
        <v>189</v>
      </c>
      <c r="F25" s="49">
        <v>20000</v>
      </c>
      <c r="G25" s="50">
        <v>49500</v>
      </c>
      <c r="H25" s="49">
        <f>12000+14000+20000+4000+20000</f>
        <v>70000</v>
      </c>
      <c r="I25" s="49">
        <f t="shared" si="4"/>
        <v>119500</v>
      </c>
      <c r="J25" s="51">
        <f t="shared" si="5"/>
        <v>1.4141414141414141</v>
      </c>
      <c r="K25" s="48" t="s">
        <v>37</v>
      </c>
      <c r="L25" s="48" t="s">
        <v>37</v>
      </c>
      <c r="M25" s="52">
        <v>41182</v>
      </c>
      <c r="N25" s="48" t="s">
        <v>36</v>
      </c>
      <c r="O25" s="41">
        <v>20000</v>
      </c>
      <c r="P25" s="41"/>
      <c r="Q25" s="41"/>
    </row>
    <row r="26" spans="1:17" s="15" customFormat="1" ht="26.25" customHeight="1" x14ac:dyDescent="0.2">
      <c r="A26" s="43" t="s">
        <v>162</v>
      </c>
      <c r="B26" s="46" t="s">
        <v>65</v>
      </c>
      <c r="C26" s="44" t="s">
        <v>213</v>
      </c>
      <c r="D26" s="47">
        <v>4032</v>
      </c>
      <c r="E26" s="46" t="s">
        <v>190</v>
      </c>
      <c r="F26" s="49">
        <f>15250*3</f>
        <v>45750</v>
      </c>
      <c r="G26" s="50">
        <f>15250*3</f>
        <v>45750</v>
      </c>
      <c r="H26" s="49">
        <v>0</v>
      </c>
      <c r="I26" s="49">
        <f t="shared" si="4"/>
        <v>45750</v>
      </c>
      <c r="J26" s="51">
        <f t="shared" si="5"/>
        <v>0</v>
      </c>
      <c r="K26" s="48" t="s">
        <v>37</v>
      </c>
      <c r="L26" s="48" t="s">
        <v>37</v>
      </c>
      <c r="M26" s="52">
        <v>41455</v>
      </c>
      <c r="N26" s="48" t="s">
        <v>64</v>
      </c>
      <c r="O26" s="41">
        <v>15250</v>
      </c>
      <c r="P26" s="41">
        <v>15250</v>
      </c>
      <c r="Q26" s="41">
        <v>15250</v>
      </c>
    </row>
    <row r="27" spans="1:17" s="15" customFormat="1" ht="26.25" customHeight="1" x14ac:dyDescent="0.2">
      <c r="A27" s="43" t="s">
        <v>163</v>
      </c>
      <c r="B27" s="46" t="s">
        <v>48</v>
      </c>
      <c r="C27" s="44" t="s">
        <v>22</v>
      </c>
      <c r="D27" s="47">
        <v>4034</v>
      </c>
      <c r="E27" s="46" t="s">
        <v>191</v>
      </c>
      <c r="F27" s="49">
        <f>10000*3</f>
        <v>30000</v>
      </c>
      <c r="G27" s="50">
        <f>10000*3</f>
        <v>30000</v>
      </c>
      <c r="H27" s="49">
        <v>0</v>
      </c>
      <c r="I27" s="49">
        <f t="shared" si="4"/>
        <v>30000</v>
      </c>
      <c r="J27" s="51">
        <f t="shared" si="5"/>
        <v>0</v>
      </c>
      <c r="K27" s="48" t="s">
        <v>37</v>
      </c>
      <c r="L27" s="48" t="s">
        <v>37</v>
      </c>
      <c r="M27" s="52">
        <v>41455</v>
      </c>
      <c r="N27" s="48" t="s">
        <v>64</v>
      </c>
      <c r="O27" s="41">
        <v>10000</v>
      </c>
      <c r="P27" s="41">
        <v>10000</v>
      </c>
      <c r="Q27" s="41">
        <v>10000</v>
      </c>
    </row>
    <row r="28" spans="1:17" s="15" customFormat="1" ht="26.25" customHeight="1" x14ac:dyDescent="0.2">
      <c r="A28" s="43" t="s">
        <v>164</v>
      </c>
      <c r="B28" s="46" t="s">
        <v>48</v>
      </c>
      <c r="C28" s="44" t="s">
        <v>108</v>
      </c>
      <c r="D28" s="34">
        <v>4036</v>
      </c>
      <c r="E28" s="46" t="s">
        <v>192</v>
      </c>
      <c r="F28" s="35">
        <v>23100</v>
      </c>
      <c r="G28" s="40">
        <v>23100</v>
      </c>
      <c r="H28" s="35">
        <v>0</v>
      </c>
      <c r="I28" s="35">
        <f t="shared" si="4"/>
        <v>23100</v>
      </c>
      <c r="J28" s="36">
        <f t="shared" si="5"/>
        <v>0</v>
      </c>
      <c r="K28" s="48" t="s">
        <v>37</v>
      </c>
      <c r="L28" s="48" t="s">
        <v>37</v>
      </c>
      <c r="M28" s="38">
        <v>41379</v>
      </c>
      <c r="N28" s="37"/>
      <c r="O28" s="41">
        <v>23100</v>
      </c>
      <c r="P28" s="41"/>
      <c r="Q28" s="41"/>
    </row>
    <row r="29" spans="1:17" s="15" customFormat="1" ht="26.25" customHeight="1" x14ac:dyDescent="0.2">
      <c r="A29" s="43" t="s">
        <v>165</v>
      </c>
      <c r="B29" s="46" t="s">
        <v>48</v>
      </c>
      <c r="C29" s="44" t="s">
        <v>96</v>
      </c>
      <c r="D29" s="34">
        <v>4043</v>
      </c>
      <c r="E29" s="46" t="s">
        <v>193</v>
      </c>
      <c r="F29" s="35">
        <v>9688</v>
      </c>
      <c r="G29" s="40">
        <v>9688</v>
      </c>
      <c r="H29" s="35">
        <v>0</v>
      </c>
      <c r="I29" s="35">
        <f t="shared" si="4"/>
        <v>9688</v>
      </c>
      <c r="J29" s="36">
        <f t="shared" si="5"/>
        <v>0</v>
      </c>
      <c r="K29" s="48" t="s">
        <v>37</v>
      </c>
      <c r="L29" s="48" t="s">
        <v>37</v>
      </c>
      <c r="M29" s="38">
        <v>41455</v>
      </c>
      <c r="N29" s="37"/>
      <c r="O29" s="41">
        <v>9688</v>
      </c>
      <c r="P29" s="41"/>
      <c r="Q29" s="41"/>
    </row>
    <row r="30" spans="1:17" s="15" customFormat="1" ht="26.25" customHeight="1" x14ac:dyDescent="0.2">
      <c r="A30" s="43" t="s">
        <v>166</v>
      </c>
      <c r="B30" s="46" t="s">
        <v>21</v>
      </c>
      <c r="C30" s="44" t="s">
        <v>214</v>
      </c>
      <c r="D30" s="34">
        <v>4146</v>
      </c>
      <c r="E30" s="46" t="s">
        <v>194</v>
      </c>
      <c r="F30" s="35">
        <v>36000</v>
      </c>
      <c r="G30" s="40">
        <v>12000</v>
      </c>
      <c r="H30" s="35">
        <f>10000+36000</f>
        <v>46000</v>
      </c>
      <c r="I30" s="35">
        <f t="shared" ref="I30:I37" si="6">G30+H30</f>
        <v>58000</v>
      </c>
      <c r="J30" s="36">
        <f t="shared" ref="J30:J37" si="7">IF(G30=0,100%,(I30-G30)/G30)</f>
        <v>3.8333333333333335</v>
      </c>
      <c r="K30" s="48" t="s">
        <v>37</v>
      </c>
      <c r="L30" s="48" t="s">
        <v>37</v>
      </c>
      <c r="M30" s="38">
        <v>41455</v>
      </c>
      <c r="N30" s="48" t="s">
        <v>36</v>
      </c>
      <c r="O30" s="41">
        <v>36000</v>
      </c>
      <c r="P30" s="41"/>
      <c r="Q30" s="41"/>
    </row>
    <row r="31" spans="1:17" s="15" customFormat="1" ht="26.25" customHeight="1" x14ac:dyDescent="0.2">
      <c r="A31" s="43" t="s">
        <v>167</v>
      </c>
      <c r="B31" s="46" t="s">
        <v>21</v>
      </c>
      <c r="C31" s="44" t="s">
        <v>90</v>
      </c>
      <c r="D31" s="34">
        <v>4150</v>
      </c>
      <c r="E31" s="46" t="s">
        <v>195</v>
      </c>
      <c r="F31" s="35">
        <f>31294*2</f>
        <v>62588</v>
      </c>
      <c r="G31" s="40">
        <f>31294+31294</f>
        <v>62588</v>
      </c>
      <c r="H31" s="35">
        <v>0</v>
      </c>
      <c r="I31" s="35">
        <f t="shared" si="6"/>
        <v>62588</v>
      </c>
      <c r="J31" s="36">
        <f t="shared" si="7"/>
        <v>0</v>
      </c>
      <c r="K31" s="48" t="s">
        <v>37</v>
      </c>
      <c r="L31" s="48" t="s">
        <v>37</v>
      </c>
      <c r="M31" s="38">
        <v>41274</v>
      </c>
      <c r="N31" s="48" t="s">
        <v>64</v>
      </c>
      <c r="O31" s="41">
        <v>31294</v>
      </c>
      <c r="P31" s="41">
        <v>31294</v>
      </c>
      <c r="Q31" s="41"/>
    </row>
    <row r="32" spans="1:17" s="15" customFormat="1" ht="26.25" customHeight="1" x14ac:dyDescent="0.2">
      <c r="A32" s="43" t="s">
        <v>168</v>
      </c>
      <c r="B32" s="46" t="s">
        <v>19</v>
      </c>
      <c r="C32" s="44" t="s">
        <v>28</v>
      </c>
      <c r="D32" s="34">
        <v>4152</v>
      </c>
      <c r="E32" s="46" t="s">
        <v>196</v>
      </c>
      <c r="F32" s="35">
        <f>15000*3</f>
        <v>45000</v>
      </c>
      <c r="G32" s="40">
        <f>15000*3</f>
        <v>45000</v>
      </c>
      <c r="H32" s="35">
        <v>0</v>
      </c>
      <c r="I32" s="35">
        <f t="shared" si="6"/>
        <v>45000</v>
      </c>
      <c r="J32" s="36">
        <f t="shared" si="7"/>
        <v>0</v>
      </c>
      <c r="K32" s="48" t="s">
        <v>37</v>
      </c>
      <c r="L32" s="48" t="s">
        <v>37</v>
      </c>
      <c r="M32" s="38">
        <v>41455</v>
      </c>
      <c r="N32" s="48" t="s">
        <v>64</v>
      </c>
      <c r="O32" s="41">
        <v>15000</v>
      </c>
      <c r="P32" s="41">
        <v>15000</v>
      </c>
      <c r="Q32" s="41">
        <v>15000</v>
      </c>
    </row>
    <row r="33" spans="1:17" s="15" customFormat="1" ht="26.25" customHeight="1" x14ac:dyDescent="0.2">
      <c r="A33" s="43" t="s">
        <v>169</v>
      </c>
      <c r="B33" s="46" t="s">
        <v>19</v>
      </c>
      <c r="C33" s="44" t="s">
        <v>27</v>
      </c>
      <c r="D33" s="34">
        <v>4153</v>
      </c>
      <c r="E33" s="46" t="s">
        <v>197</v>
      </c>
      <c r="F33" s="35">
        <f>26000*3</f>
        <v>78000</v>
      </c>
      <c r="G33" s="40">
        <f>26000*3</f>
        <v>78000</v>
      </c>
      <c r="H33" s="35">
        <v>0</v>
      </c>
      <c r="I33" s="35">
        <f t="shared" si="6"/>
        <v>78000</v>
      </c>
      <c r="J33" s="36">
        <f t="shared" si="7"/>
        <v>0</v>
      </c>
      <c r="K33" s="48" t="s">
        <v>37</v>
      </c>
      <c r="L33" s="48" t="s">
        <v>37</v>
      </c>
      <c r="M33" s="38">
        <v>41455</v>
      </c>
      <c r="N33" s="48" t="s">
        <v>64</v>
      </c>
      <c r="O33" s="41">
        <v>26000</v>
      </c>
      <c r="P33" s="41">
        <v>26000</v>
      </c>
      <c r="Q33" s="41">
        <v>26000</v>
      </c>
    </row>
    <row r="34" spans="1:17" s="15" customFormat="1" ht="26.25" customHeight="1" x14ac:dyDescent="0.2">
      <c r="A34" s="43" t="s">
        <v>170</v>
      </c>
      <c r="B34" s="46" t="s">
        <v>19</v>
      </c>
      <c r="C34" s="44" t="s">
        <v>215</v>
      </c>
      <c r="D34" s="34">
        <v>4154</v>
      </c>
      <c r="E34" s="46" t="s">
        <v>198</v>
      </c>
      <c r="F34" s="35">
        <f>10000*3</f>
        <v>30000</v>
      </c>
      <c r="G34" s="40">
        <f>10000*3</f>
        <v>30000</v>
      </c>
      <c r="H34" s="35">
        <v>0</v>
      </c>
      <c r="I34" s="35">
        <f t="shared" si="6"/>
        <v>30000</v>
      </c>
      <c r="J34" s="36">
        <f t="shared" si="7"/>
        <v>0</v>
      </c>
      <c r="K34" s="48" t="s">
        <v>37</v>
      </c>
      <c r="L34" s="48" t="s">
        <v>37</v>
      </c>
      <c r="M34" s="38">
        <v>41455</v>
      </c>
      <c r="N34" s="48" t="s">
        <v>64</v>
      </c>
      <c r="O34" s="41">
        <v>10000</v>
      </c>
      <c r="P34" s="41">
        <v>10000</v>
      </c>
      <c r="Q34" s="41">
        <v>10000</v>
      </c>
    </row>
    <row r="35" spans="1:17" s="15" customFormat="1" ht="26.25" customHeight="1" x14ac:dyDescent="0.2">
      <c r="A35" s="43" t="s">
        <v>171</v>
      </c>
      <c r="B35" s="46" t="s">
        <v>21</v>
      </c>
      <c r="C35" s="44" t="s">
        <v>22</v>
      </c>
      <c r="D35" s="34">
        <v>4163</v>
      </c>
      <c r="E35" s="46" t="s">
        <v>199</v>
      </c>
      <c r="F35" s="35">
        <v>17000</v>
      </c>
      <c r="G35" s="40">
        <v>17000</v>
      </c>
      <c r="H35" s="35">
        <v>0</v>
      </c>
      <c r="I35" s="35">
        <f t="shared" si="6"/>
        <v>17000</v>
      </c>
      <c r="J35" s="36">
        <f t="shared" si="7"/>
        <v>0</v>
      </c>
      <c r="K35" s="48" t="s">
        <v>37</v>
      </c>
      <c r="L35" s="48" t="s">
        <v>37</v>
      </c>
      <c r="M35" s="38">
        <v>41455</v>
      </c>
      <c r="N35" s="37"/>
      <c r="O35" s="41">
        <v>17000</v>
      </c>
      <c r="P35" s="41"/>
      <c r="Q35" s="41"/>
    </row>
    <row r="36" spans="1:17" s="15" customFormat="1" ht="26.25" customHeight="1" x14ac:dyDescent="0.2">
      <c r="A36" s="43" t="s">
        <v>172</v>
      </c>
      <c r="B36" s="46" t="s">
        <v>20</v>
      </c>
      <c r="C36" s="44" t="s">
        <v>216</v>
      </c>
      <c r="D36" s="34">
        <v>4164</v>
      </c>
      <c r="E36" s="46" t="s">
        <v>200</v>
      </c>
      <c r="F36" s="35">
        <f>20000*3</f>
        <v>60000</v>
      </c>
      <c r="G36" s="40">
        <f>20000*3</f>
        <v>60000</v>
      </c>
      <c r="H36" s="35">
        <v>0</v>
      </c>
      <c r="I36" s="35">
        <f t="shared" si="6"/>
        <v>60000</v>
      </c>
      <c r="J36" s="36">
        <f t="shared" si="7"/>
        <v>0</v>
      </c>
      <c r="K36" s="48" t="s">
        <v>37</v>
      </c>
      <c r="L36" s="48" t="s">
        <v>37</v>
      </c>
      <c r="M36" s="38">
        <v>41455</v>
      </c>
      <c r="N36" s="48" t="s">
        <v>64</v>
      </c>
      <c r="O36" s="41">
        <v>20000</v>
      </c>
      <c r="P36" s="41">
        <v>20000</v>
      </c>
      <c r="Q36" s="41">
        <v>20000</v>
      </c>
    </row>
    <row r="37" spans="1:17" s="15" customFormat="1" ht="26.25" customHeight="1" x14ac:dyDescent="0.2">
      <c r="A37" s="43" t="s">
        <v>173</v>
      </c>
      <c r="B37" s="46" t="s">
        <v>50</v>
      </c>
      <c r="C37" s="44" t="s">
        <v>217</v>
      </c>
      <c r="D37" s="34">
        <v>4188</v>
      </c>
      <c r="E37" s="46" t="s">
        <v>201</v>
      </c>
      <c r="F37" s="35">
        <v>25135</v>
      </c>
      <c r="G37" s="40">
        <v>25000</v>
      </c>
      <c r="H37" s="35">
        <f>11200+25135</f>
        <v>36335</v>
      </c>
      <c r="I37" s="35">
        <f t="shared" si="6"/>
        <v>61335</v>
      </c>
      <c r="J37" s="36">
        <f t="shared" si="7"/>
        <v>1.4534</v>
      </c>
      <c r="K37" s="48" t="s">
        <v>37</v>
      </c>
      <c r="L37" s="48" t="s">
        <v>37</v>
      </c>
      <c r="M37" s="38">
        <v>41274</v>
      </c>
      <c r="N37" s="48" t="s">
        <v>36</v>
      </c>
      <c r="O37" s="41">
        <v>25135</v>
      </c>
      <c r="P37" s="41"/>
      <c r="Q37" s="41"/>
    </row>
    <row r="38" spans="1:17" s="15" customFormat="1" ht="18" customHeight="1" x14ac:dyDescent="0.2">
      <c r="A38" s="43" t="s">
        <v>218</v>
      </c>
      <c r="B38" s="46" t="s">
        <v>39</v>
      </c>
      <c r="C38" s="44" t="s">
        <v>230</v>
      </c>
      <c r="D38" s="34">
        <v>4201</v>
      </c>
      <c r="E38" s="46" t="s">
        <v>236</v>
      </c>
      <c r="F38" s="35">
        <v>10138</v>
      </c>
      <c r="G38" s="40">
        <v>10138</v>
      </c>
      <c r="H38" s="35">
        <v>0</v>
      </c>
      <c r="I38" s="35">
        <f t="shared" ref="I38:I43" si="8">G38+H38</f>
        <v>10138</v>
      </c>
      <c r="J38" s="36">
        <f t="shared" ref="J38:J43" si="9">IF(G38=0,100%,(I38-G38)/G38)</f>
        <v>0</v>
      </c>
      <c r="K38" s="48" t="s">
        <v>37</v>
      </c>
      <c r="L38" s="48" t="s">
        <v>37</v>
      </c>
      <c r="M38" s="38">
        <v>41419</v>
      </c>
      <c r="N38" s="37"/>
      <c r="O38" s="41">
        <v>10138</v>
      </c>
      <c r="P38" s="41"/>
      <c r="Q38" s="41"/>
    </row>
    <row r="39" spans="1:17" s="15" customFormat="1" ht="26.25" customHeight="1" x14ac:dyDescent="0.2">
      <c r="A39" s="43" t="s">
        <v>219</v>
      </c>
      <c r="B39" s="46" t="s">
        <v>46</v>
      </c>
      <c r="C39" s="44" t="s">
        <v>117</v>
      </c>
      <c r="D39" s="34">
        <v>4202</v>
      </c>
      <c r="E39" s="46" t="s">
        <v>237</v>
      </c>
      <c r="F39" s="35">
        <v>22890</v>
      </c>
      <c r="G39" s="40">
        <v>22890</v>
      </c>
      <c r="H39" s="35">
        <v>0</v>
      </c>
      <c r="I39" s="35">
        <f t="shared" si="8"/>
        <v>22890</v>
      </c>
      <c r="J39" s="36">
        <f t="shared" si="9"/>
        <v>0</v>
      </c>
      <c r="K39" s="48" t="s">
        <v>37</v>
      </c>
      <c r="L39" s="48" t="s">
        <v>42</v>
      </c>
      <c r="M39" s="38">
        <v>41182</v>
      </c>
      <c r="N39" s="37"/>
      <c r="O39" s="41">
        <v>22890</v>
      </c>
      <c r="P39" s="41"/>
      <c r="Q39" s="41"/>
    </row>
    <row r="40" spans="1:17" s="15" customFormat="1" ht="26.25" customHeight="1" x14ac:dyDescent="0.2">
      <c r="A40" s="43" t="s">
        <v>220</v>
      </c>
      <c r="B40" s="46" t="s">
        <v>46</v>
      </c>
      <c r="C40" s="44" t="s">
        <v>83</v>
      </c>
      <c r="D40" s="34">
        <v>4203</v>
      </c>
      <c r="E40" s="46" t="s">
        <v>238</v>
      </c>
      <c r="F40" s="35">
        <v>9138</v>
      </c>
      <c r="G40" s="40">
        <v>9138</v>
      </c>
      <c r="H40" s="35">
        <v>0</v>
      </c>
      <c r="I40" s="35">
        <f t="shared" si="8"/>
        <v>9138</v>
      </c>
      <c r="J40" s="36">
        <f t="shared" si="9"/>
        <v>0</v>
      </c>
      <c r="K40" s="48" t="s">
        <v>37</v>
      </c>
      <c r="L40" s="48" t="s">
        <v>42</v>
      </c>
      <c r="M40" s="38">
        <v>41182</v>
      </c>
      <c r="N40" s="37"/>
      <c r="O40" s="41">
        <v>9138</v>
      </c>
      <c r="P40" s="41"/>
      <c r="Q40" s="41"/>
    </row>
    <row r="41" spans="1:17" s="15" customFormat="1" ht="26.25" customHeight="1" x14ac:dyDescent="0.2">
      <c r="A41" s="43" t="s">
        <v>221</v>
      </c>
      <c r="B41" s="46" t="s">
        <v>46</v>
      </c>
      <c r="C41" s="44" t="s">
        <v>231</v>
      </c>
      <c r="D41" s="34">
        <v>4205</v>
      </c>
      <c r="E41" s="46" t="s">
        <v>239</v>
      </c>
      <c r="F41" s="35">
        <v>5484</v>
      </c>
      <c r="G41" s="40">
        <v>5484</v>
      </c>
      <c r="H41" s="35">
        <v>0</v>
      </c>
      <c r="I41" s="35">
        <f t="shared" si="8"/>
        <v>5484</v>
      </c>
      <c r="J41" s="36">
        <f t="shared" si="9"/>
        <v>0</v>
      </c>
      <c r="K41" s="48" t="s">
        <v>37</v>
      </c>
      <c r="L41" s="48" t="s">
        <v>42</v>
      </c>
      <c r="M41" s="38">
        <v>41455</v>
      </c>
      <c r="N41" s="37"/>
      <c r="O41" s="41">
        <v>5484</v>
      </c>
      <c r="P41" s="41"/>
      <c r="Q41" s="41"/>
    </row>
    <row r="42" spans="1:17" s="15" customFormat="1" ht="26.25" customHeight="1" x14ac:dyDescent="0.2">
      <c r="A42" s="43" t="s">
        <v>222</v>
      </c>
      <c r="B42" s="46" t="s">
        <v>46</v>
      </c>
      <c r="C42" s="44" t="s">
        <v>88</v>
      </c>
      <c r="D42" s="34">
        <v>4206</v>
      </c>
      <c r="E42" s="46" t="s">
        <v>240</v>
      </c>
      <c r="F42" s="35">
        <v>10820</v>
      </c>
      <c r="G42" s="40">
        <v>10820</v>
      </c>
      <c r="H42" s="35">
        <v>0</v>
      </c>
      <c r="I42" s="35">
        <f t="shared" si="8"/>
        <v>10820</v>
      </c>
      <c r="J42" s="36">
        <f t="shared" si="9"/>
        <v>0</v>
      </c>
      <c r="K42" s="48" t="s">
        <v>37</v>
      </c>
      <c r="L42" s="48" t="s">
        <v>42</v>
      </c>
      <c r="M42" s="38">
        <v>41090</v>
      </c>
      <c r="N42" s="37"/>
      <c r="O42" s="41">
        <v>10820</v>
      </c>
      <c r="P42" s="41"/>
      <c r="Q42" s="41"/>
    </row>
    <row r="43" spans="1:17" s="15" customFormat="1" ht="26.25" customHeight="1" x14ac:dyDescent="0.2">
      <c r="A43" s="43" t="s">
        <v>223</v>
      </c>
      <c r="B43" s="46" t="s">
        <v>46</v>
      </c>
      <c r="C43" s="44" t="s">
        <v>232</v>
      </c>
      <c r="D43" s="34">
        <v>4207</v>
      </c>
      <c r="E43" s="46" t="s">
        <v>241</v>
      </c>
      <c r="F43" s="35">
        <v>7413</v>
      </c>
      <c r="G43" s="40">
        <v>7413</v>
      </c>
      <c r="H43" s="35">
        <v>0</v>
      </c>
      <c r="I43" s="35">
        <f t="shared" si="8"/>
        <v>7413</v>
      </c>
      <c r="J43" s="36">
        <f t="shared" si="9"/>
        <v>0</v>
      </c>
      <c r="K43" s="48" t="s">
        <v>37</v>
      </c>
      <c r="L43" s="48" t="s">
        <v>42</v>
      </c>
      <c r="M43" s="38">
        <v>41182</v>
      </c>
      <c r="N43" s="37"/>
      <c r="O43" s="41">
        <v>7413</v>
      </c>
      <c r="P43" s="41"/>
      <c r="Q43" s="41"/>
    </row>
    <row r="44" spans="1:17" s="15" customFormat="1" ht="26.25" customHeight="1" x14ac:dyDescent="0.2">
      <c r="A44" s="43" t="s">
        <v>224</v>
      </c>
      <c r="B44" s="46" t="s">
        <v>17</v>
      </c>
      <c r="C44" s="44" t="s">
        <v>233</v>
      </c>
      <c r="D44" s="34">
        <v>4233</v>
      </c>
      <c r="E44" s="46" t="s">
        <v>242</v>
      </c>
      <c r="F44" s="35">
        <v>15000</v>
      </c>
      <c r="G44" s="40">
        <v>15000</v>
      </c>
      <c r="H44" s="35">
        <v>0</v>
      </c>
      <c r="I44" s="35">
        <f t="shared" ref="I44:I51" si="10">G44+H44</f>
        <v>15000</v>
      </c>
      <c r="J44" s="36">
        <f t="shared" ref="J44:J51" si="11">IF(G44=0,100%,(I44-G44)/G44)</f>
        <v>0</v>
      </c>
      <c r="K44" s="48" t="s">
        <v>37</v>
      </c>
      <c r="L44" s="48" t="s">
        <v>37</v>
      </c>
      <c r="M44" s="38">
        <v>41455</v>
      </c>
      <c r="N44" s="37"/>
      <c r="O44" s="41">
        <v>15000</v>
      </c>
      <c r="P44" s="41"/>
      <c r="Q44" s="41"/>
    </row>
    <row r="45" spans="1:17" s="15" customFormat="1" ht="38.25" customHeight="1" x14ac:dyDescent="0.2">
      <c r="A45" s="43" t="s">
        <v>225</v>
      </c>
      <c r="B45" s="46" t="s">
        <v>20</v>
      </c>
      <c r="C45" s="44" t="s">
        <v>681</v>
      </c>
      <c r="D45" s="34">
        <v>4232</v>
      </c>
      <c r="E45" s="46" t="s">
        <v>243</v>
      </c>
      <c r="F45" s="35">
        <f>37400*2</f>
        <v>74800</v>
      </c>
      <c r="G45" s="40">
        <f>37400*2</f>
        <v>74800</v>
      </c>
      <c r="H45" s="35">
        <v>0</v>
      </c>
      <c r="I45" s="35">
        <f t="shared" si="10"/>
        <v>74800</v>
      </c>
      <c r="J45" s="36">
        <f t="shared" si="11"/>
        <v>0</v>
      </c>
      <c r="K45" s="48" t="s">
        <v>37</v>
      </c>
      <c r="L45" s="48" t="s">
        <v>37</v>
      </c>
      <c r="M45" s="38">
        <v>41418</v>
      </c>
      <c r="N45" s="48"/>
      <c r="O45" s="41">
        <f>37400*2</f>
        <v>74800</v>
      </c>
      <c r="P45" s="41"/>
      <c r="Q45" s="41"/>
    </row>
    <row r="46" spans="1:17" s="15" customFormat="1" ht="26.25" customHeight="1" x14ac:dyDescent="0.2">
      <c r="A46" s="43" t="s">
        <v>226</v>
      </c>
      <c r="B46" s="46" t="s">
        <v>39</v>
      </c>
      <c r="C46" s="44" t="s">
        <v>234</v>
      </c>
      <c r="D46" s="34">
        <v>4220</v>
      </c>
      <c r="E46" s="46" t="s">
        <v>244</v>
      </c>
      <c r="F46" s="35">
        <f>18529*3</f>
        <v>55587</v>
      </c>
      <c r="G46" s="40">
        <f>18529*3</f>
        <v>55587</v>
      </c>
      <c r="H46" s="35">
        <v>0</v>
      </c>
      <c r="I46" s="35">
        <f t="shared" si="10"/>
        <v>55587</v>
      </c>
      <c r="J46" s="36">
        <f t="shared" si="11"/>
        <v>0</v>
      </c>
      <c r="K46" s="48" t="s">
        <v>37</v>
      </c>
      <c r="L46" s="48" t="s">
        <v>37</v>
      </c>
      <c r="M46" s="38">
        <v>41455</v>
      </c>
      <c r="N46" s="48" t="s">
        <v>64</v>
      </c>
      <c r="O46" s="41">
        <v>18529</v>
      </c>
      <c r="P46" s="41">
        <v>18529</v>
      </c>
      <c r="Q46" s="41">
        <v>18529</v>
      </c>
    </row>
    <row r="47" spans="1:17" s="15" customFormat="1" ht="18" customHeight="1" x14ac:dyDescent="0.2">
      <c r="A47" s="43" t="s">
        <v>227</v>
      </c>
      <c r="B47" s="46" t="s">
        <v>39</v>
      </c>
      <c r="C47" s="44" t="s">
        <v>235</v>
      </c>
      <c r="D47" s="34">
        <v>4218</v>
      </c>
      <c r="E47" s="46" t="s">
        <v>245</v>
      </c>
      <c r="F47" s="35">
        <f>6500*3</f>
        <v>19500</v>
      </c>
      <c r="G47" s="40">
        <f>6500*3</f>
        <v>19500</v>
      </c>
      <c r="H47" s="35">
        <v>0</v>
      </c>
      <c r="I47" s="35">
        <f t="shared" si="10"/>
        <v>19500</v>
      </c>
      <c r="J47" s="36">
        <f t="shared" si="11"/>
        <v>0</v>
      </c>
      <c r="K47" s="48" t="s">
        <v>37</v>
      </c>
      <c r="L47" s="48" t="s">
        <v>37</v>
      </c>
      <c r="M47" s="38">
        <v>41425</v>
      </c>
      <c r="N47" s="48" t="s">
        <v>64</v>
      </c>
      <c r="O47" s="41">
        <v>6500</v>
      </c>
      <c r="P47" s="41">
        <v>6500</v>
      </c>
      <c r="Q47" s="41">
        <v>6500</v>
      </c>
    </row>
    <row r="48" spans="1:17" s="15" customFormat="1" ht="26.25" customHeight="1" x14ac:dyDescent="0.2">
      <c r="A48" s="43" t="s">
        <v>228</v>
      </c>
      <c r="B48" s="46" t="s">
        <v>46</v>
      </c>
      <c r="C48" s="44" t="s">
        <v>52</v>
      </c>
      <c r="D48" s="34">
        <v>4212</v>
      </c>
      <c r="E48" s="46" t="s">
        <v>246</v>
      </c>
      <c r="F48" s="35">
        <v>18487</v>
      </c>
      <c r="G48" s="40">
        <v>18487</v>
      </c>
      <c r="H48" s="35">
        <v>0</v>
      </c>
      <c r="I48" s="35">
        <f t="shared" si="10"/>
        <v>18487</v>
      </c>
      <c r="J48" s="36">
        <f t="shared" si="11"/>
        <v>0</v>
      </c>
      <c r="K48" s="48" t="s">
        <v>37</v>
      </c>
      <c r="L48" s="48" t="s">
        <v>37</v>
      </c>
      <c r="M48" s="38">
        <v>41182</v>
      </c>
      <c r="N48" s="37"/>
      <c r="O48" s="41">
        <v>18487</v>
      </c>
      <c r="P48" s="41"/>
      <c r="Q48" s="41"/>
    </row>
    <row r="49" spans="1:17" s="15" customFormat="1" ht="26.25" customHeight="1" x14ac:dyDescent="0.2">
      <c r="A49" s="43" t="s">
        <v>229</v>
      </c>
      <c r="B49" s="46" t="s">
        <v>18</v>
      </c>
      <c r="C49" s="44" t="s">
        <v>97</v>
      </c>
      <c r="D49" s="34">
        <v>3465</v>
      </c>
      <c r="E49" s="46" t="s">
        <v>247</v>
      </c>
      <c r="F49" s="35">
        <v>49000</v>
      </c>
      <c r="G49" s="40">
        <v>50000</v>
      </c>
      <c r="H49" s="35">
        <v>49000</v>
      </c>
      <c r="I49" s="35">
        <f t="shared" si="10"/>
        <v>99000</v>
      </c>
      <c r="J49" s="36">
        <f t="shared" si="11"/>
        <v>0.98</v>
      </c>
      <c r="K49" s="48" t="s">
        <v>37</v>
      </c>
      <c r="L49" s="48" t="s">
        <v>37</v>
      </c>
      <c r="M49" s="52" t="s">
        <v>69</v>
      </c>
      <c r="N49" s="48" t="s">
        <v>36</v>
      </c>
      <c r="O49" s="41">
        <v>49000</v>
      </c>
      <c r="P49" s="41"/>
      <c r="Q49" s="41"/>
    </row>
    <row r="50" spans="1:17" s="15" customFormat="1" ht="38.25" customHeight="1" x14ac:dyDescent="0.2">
      <c r="A50" s="43" t="s">
        <v>248</v>
      </c>
      <c r="B50" s="46" t="s">
        <v>17</v>
      </c>
      <c r="C50" s="44" t="s">
        <v>85</v>
      </c>
      <c r="D50" s="34">
        <v>4040</v>
      </c>
      <c r="E50" s="46" t="s">
        <v>267</v>
      </c>
      <c r="F50" s="35">
        <f>98000*3</f>
        <v>294000</v>
      </c>
      <c r="G50" s="40">
        <f>98000*3</f>
        <v>294000</v>
      </c>
      <c r="H50" s="35">
        <v>0</v>
      </c>
      <c r="I50" s="35">
        <f t="shared" si="10"/>
        <v>294000</v>
      </c>
      <c r="J50" s="36">
        <f t="shared" si="11"/>
        <v>0</v>
      </c>
      <c r="K50" s="48" t="s">
        <v>37</v>
      </c>
      <c r="L50" s="48" t="s">
        <v>37</v>
      </c>
      <c r="M50" s="38">
        <v>41455</v>
      </c>
      <c r="N50" s="48" t="s">
        <v>64</v>
      </c>
      <c r="O50" s="41">
        <v>98000</v>
      </c>
      <c r="P50" s="41">
        <v>98000</v>
      </c>
      <c r="Q50" s="41">
        <v>98000</v>
      </c>
    </row>
    <row r="51" spans="1:17" s="15" customFormat="1" ht="38.25" customHeight="1" x14ac:dyDescent="0.2">
      <c r="A51" s="43" t="s">
        <v>249</v>
      </c>
      <c r="B51" s="46" t="s">
        <v>17</v>
      </c>
      <c r="C51" s="44" t="s">
        <v>282</v>
      </c>
      <c r="D51" s="34">
        <v>4047</v>
      </c>
      <c r="E51" s="46" t="s">
        <v>267</v>
      </c>
      <c r="F51" s="35">
        <f>60000*3</f>
        <v>180000</v>
      </c>
      <c r="G51" s="40">
        <f>60000*3</f>
        <v>180000</v>
      </c>
      <c r="H51" s="35">
        <v>0</v>
      </c>
      <c r="I51" s="35">
        <f t="shared" si="10"/>
        <v>180000</v>
      </c>
      <c r="J51" s="36">
        <f t="shared" si="11"/>
        <v>0</v>
      </c>
      <c r="K51" s="48" t="s">
        <v>37</v>
      </c>
      <c r="L51" s="48" t="s">
        <v>37</v>
      </c>
      <c r="M51" s="38">
        <v>41455</v>
      </c>
      <c r="N51" s="48" t="s">
        <v>64</v>
      </c>
      <c r="O51" s="41">
        <v>60000</v>
      </c>
      <c r="P51" s="41">
        <v>60000</v>
      </c>
      <c r="Q51" s="41">
        <v>60000</v>
      </c>
    </row>
    <row r="52" spans="1:17" s="15" customFormat="1" ht="26.25" customHeight="1" x14ac:dyDescent="0.2">
      <c r="A52" s="43" t="s">
        <v>250</v>
      </c>
      <c r="B52" s="46" t="s">
        <v>21</v>
      </c>
      <c r="C52" s="44" t="s">
        <v>283</v>
      </c>
      <c r="D52" s="34">
        <v>4048</v>
      </c>
      <c r="E52" s="46" t="s">
        <v>268</v>
      </c>
      <c r="F52" s="35">
        <f>80770*2</f>
        <v>161540</v>
      </c>
      <c r="G52" s="40">
        <f>80770*2</f>
        <v>161540</v>
      </c>
      <c r="H52" s="35">
        <v>0</v>
      </c>
      <c r="I52" s="35">
        <f t="shared" ref="I52:I66" si="12">G52+H52</f>
        <v>161540</v>
      </c>
      <c r="J52" s="36">
        <f t="shared" ref="J52:J66" si="13">IF(G52=0,100%,(I52-G52)/G52)</f>
        <v>0</v>
      </c>
      <c r="K52" s="48" t="s">
        <v>37</v>
      </c>
      <c r="L52" s="48" t="s">
        <v>37</v>
      </c>
      <c r="M52" s="38">
        <v>41455</v>
      </c>
      <c r="N52" s="48" t="s">
        <v>64</v>
      </c>
      <c r="O52" s="41">
        <v>80770</v>
      </c>
      <c r="P52" s="41">
        <v>80770</v>
      </c>
      <c r="Q52" s="41"/>
    </row>
    <row r="53" spans="1:17" s="15" customFormat="1" ht="38.25" customHeight="1" x14ac:dyDescent="0.2">
      <c r="A53" s="43" t="s">
        <v>251</v>
      </c>
      <c r="B53" s="46" t="s">
        <v>17</v>
      </c>
      <c r="C53" s="44" t="s">
        <v>284</v>
      </c>
      <c r="D53" s="34">
        <v>4066</v>
      </c>
      <c r="E53" s="46" t="s">
        <v>267</v>
      </c>
      <c r="F53" s="35">
        <f>60000*3</f>
        <v>180000</v>
      </c>
      <c r="G53" s="40">
        <f>60000*3</f>
        <v>180000</v>
      </c>
      <c r="H53" s="35">
        <v>0</v>
      </c>
      <c r="I53" s="35">
        <f t="shared" si="12"/>
        <v>180000</v>
      </c>
      <c r="J53" s="36">
        <f t="shared" si="13"/>
        <v>0</v>
      </c>
      <c r="K53" s="48" t="s">
        <v>37</v>
      </c>
      <c r="L53" s="48" t="s">
        <v>37</v>
      </c>
      <c r="M53" s="38">
        <v>41455</v>
      </c>
      <c r="N53" s="48" t="s">
        <v>64</v>
      </c>
      <c r="O53" s="41">
        <v>60000</v>
      </c>
      <c r="P53" s="41">
        <v>60000</v>
      </c>
      <c r="Q53" s="41">
        <v>60000</v>
      </c>
    </row>
    <row r="54" spans="1:17" s="15" customFormat="1" ht="38.25" customHeight="1" x14ac:dyDescent="0.2">
      <c r="A54" s="43" t="s">
        <v>252</v>
      </c>
      <c r="B54" s="46" t="s">
        <v>17</v>
      </c>
      <c r="C54" s="44" t="s">
        <v>285</v>
      </c>
      <c r="D54" s="34">
        <v>4068</v>
      </c>
      <c r="E54" s="46" t="s">
        <v>267</v>
      </c>
      <c r="F54" s="35">
        <f>60000*3</f>
        <v>180000</v>
      </c>
      <c r="G54" s="40">
        <f>60000*3</f>
        <v>180000</v>
      </c>
      <c r="H54" s="35">
        <v>0</v>
      </c>
      <c r="I54" s="35">
        <f t="shared" si="12"/>
        <v>180000</v>
      </c>
      <c r="J54" s="36">
        <f t="shared" si="13"/>
        <v>0</v>
      </c>
      <c r="K54" s="48" t="s">
        <v>37</v>
      </c>
      <c r="L54" s="48" t="s">
        <v>37</v>
      </c>
      <c r="M54" s="38">
        <v>41455</v>
      </c>
      <c r="N54" s="48" t="s">
        <v>64</v>
      </c>
      <c r="O54" s="41">
        <v>60000</v>
      </c>
      <c r="P54" s="41">
        <v>60000</v>
      </c>
      <c r="Q54" s="41">
        <v>60000</v>
      </c>
    </row>
    <row r="55" spans="1:17" s="15" customFormat="1" ht="18" customHeight="1" x14ac:dyDescent="0.2">
      <c r="A55" s="43" t="s">
        <v>253</v>
      </c>
      <c r="B55" s="46" t="s">
        <v>39</v>
      </c>
      <c r="C55" s="44" t="s">
        <v>286</v>
      </c>
      <c r="D55" s="34">
        <v>4219</v>
      </c>
      <c r="E55" s="46" t="s">
        <v>269</v>
      </c>
      <c r="F55" s="35">
        <f>84654*3</f>
        <v>253962</v>
      </c>
      <c r="G55" s="40">
        <f>84654*3</f>
        <v>253962</v>
      </c>
      <c r="H55" s="35">
        <v>0</v>
      </c>
      <c r="I55" s="35">
        <f t="shared" si="12"/>
        <v>253962</v>
      </c>
      <c r="J55" s="36">
        <f t="shared" si="13"/>
        <v>0</v>
      </c>
      <c r="K55" s="48" t="s">
        <v>37</v>
      </c>
      <c r="L55" s="48" t="s">
        <v>37</v>
      </c>
      <c r="M55" s="38">
        <v>41455</v>
      </c>
      <c r="N55" s="48" t="s">
        <v>64</v>
      </c>
      <c r="O55" s="41">
        <v>84654</v>
      </c>
      <c r="P55" s="41">
        <v>84654</v>
      </c>
      <c r="Q55" s="41">
        <v>84654</v>
      </c>
    </row>
    <row r="56" spans="1:17" s="15" customFormat="1" ht="26.25" customHeight="1" x14ac:dyDescent="0.2">
      <c r="A56" s="43" t="s">
        <v>254</v>
      </c>
      <c r="B56" s="46" t="s">
        <v>46</v>
      </c>
      <c r="C56" s="44" t="s">
        <v>140</v>
      </c>
      <c r="D56" s="34">
        <v>3984</v>
      </c>
      <c r="E56" s="46" t="s">
        <v>270</v>
      </c>
      <c r="F56" s="35">
        <v>53500</v>
      </c>
      <c r="G56" s="40">
        <v>53500</v>
      </c>
      <c r="H56" s="35">
        <v>0</v>
      </c>
      <c r="I56" s="35">
        <f t="shared" si="12"/>
        <v>53500</v>
      </c>
      <c r="J56" s="36">
        <f t="shared" si="13"/>
        <v>0</v>
      </c>
      <c r="K56" s="48" t="s">
        <v>37</v>
      </c>
      <c r="L56" s="48" t="s">
        <v>37</v>
      </c>
      <c r="M56" s="38">
        <v>41274</v>
      </c>
      <c r="N56" s="37"/>
      <c r="O56" s="41">
        <v>53500</v>
      </c>
      <c r="P56" s="41"/>
      <c r="Q56" s="41"/>
    </row>
    <row r="57" spans="1:17" s="15" customFormat="1" ht="26.25" customHeight="1" x14ac:dyDescent="0.2">
      <c r="A57" s="43" t="s">
        <v>255</v>
      </c>
      <c r="B57" s="46" t="s">
        <v>46</v>
      </c>
      <c r="C57" s="44" t="s">
        <v>108</v>
      </c>
      <c r="D57" s="34">
        <v>4276</v>
      </c>
      <c r="E57" s="46" t="s">
        <v>271</v>
      </c>
      <c r="F57" s="35">
        <f>93600*3</f>
        <v>280800</v>
      </c>
      <c r="G57" s="40">
        <f>93600*3</f>
        <v>280800</v>
      </c>
      <c r="H57" s="35">
        <v>0</v>
      </c>
      <c r="I57" s="35">
        <f t="shared" si="12"/>
        <v>280800</v>
      </c>
      <c r="J57" s="36">
        <f t="shared" si="13"/>
        <v>0</v>
      </c>
      <c r="K57" s="48" t="s">
        <v>37</v>
      </c>
      <c r="L57" s="48" t="s">
        <v>37</v>
      </c>
      <c r="M57" s="38">
        <v>41455</v>
      </c>
      <c r="N57" s="48" t="s">
        <v>64</v>
      </c>
      <c r="O57" s="41">
        <v>93600</v>
      </c>
      <c r="P57" s="41">
        <v>93600</v>
      </c>
      <c r="Q57" s="41">
        <v>93600</v>
      </c>
    </row>
    <row r="58" spans="1:17" s="15" customFormat="1" ht="26.25" customHeight="1" x14ac:dyDescent="0.2">
      <c r="A58" s="43" t="s">
        <v>256</v>
      </c>
      <c r="B58" s="46" t="s">
        <v>40</v>
      </c>
      <c r="C58" s="44" t="s">
        <v>287</v>
      </c>
      <c r="D58" s="34">
        <v>4192</v>
      </c>
      <c r="E58" s="46" t="s">
        <v>272</v>
      </c>
      <c r="F58" s="35">
        <f>92017*3</f>
        <v>276051</v>
      </c>
      <c r="G58" s="40">
        <f>92017*3</f>
        <v>276051</v>
      </c>
      <c r="H58" s="35">
        <v>0</v>
      </c>
      <c r="I58" s="35">
        <f t="shared" si="12"/>
        <v>276051</v>
      </c>
      <c r="J58" s="36">
        <f t="shared" si="13"/>
        <v>0</v>
      </c>
      <c r="K58" s="48" t="s">
        <v>37</v>
      </c>
      <c r="L58" s="48" t="s">
        <v>37</v>
      </c>
      <c r="M58" s="38">
        <v>41455</v>
      </c>
      <c r="N58" s="48" t="s">
        <v>64</v>
      </c>
      <c r="O58" s="41">
        <v>92017</v>
      </c>
      <c r="P58" s="41">
        <v>92017</v>
      </c>
      <c r="Q58" s="41">
        <v>92017</v>
      </c>
    </row>
    <row r="59" spans="1:17" s="15" customFormat="1" ht="26.25" customHeight="1" x14ac:dyDescent="0.2">
      <c r="A59" s="43" t="s">
        <v>257</v>
      </c>
      <c r="B59" s="46" t="s">
        <v>40</v>
      </c>
      <c r="C59" s="44" t="s">
        <v>288</v>
      </c>
      <c r="D59" s="34">
        <v>4136</v>
      </c>
      <c r="E59" s="46" t="s">
        <v>273</v>
      </c>
      <c r="F59" s="35">
        <f>92410*3</f>
        <v>277230</v>
      </c>
      <c r="G59" s="40">
        <f>92410*3</f>
        <v>277230</v>
      </c>
      <c r="H59" s="35">
        <v>0</v>
      </c>
      <c r="I59" s="35">
        <f t="shared" si="12"/>
        <v>277230</v>
      </c>
      <c r="J59" s="36">
        <f t="shared" si="13"/>
        <v>0</v>
      </c>
      <c r="K59" s="48" t="s">
        <v>37</v>
      </c>
      <c r="L59" s="48" t="s">
        <v>37</v>
      </c>
      <c r="M59" s="38">
        <v>41455</v>
      </c>
      <c r="N59" s="48" t="s">
        <v>64</v>
      </c>
      <c r="O59" s="41">
        <v>92410</v>
      </c>
      <c r="P59" s="41">
        <v>92410</v>
      </c>
      <c r="Q59" s="41">
        <v>92410</v>
      </c>
    </row>
    <row r="60" spans="1:17" s="15" customFormat="1" ht="26.25" customHeight="1" x14ac:dyDescent="0.2">
      <c r="A60" s="43" t="s">
        <v>258</v>
      </c>
      <c r="B60" s="46" t="s">
        <v>125</v>
      </c>
      <c r="C60" s="44" t="s">
        <v>289</v>
      </c>
      <c r="D60" s="47" t="s">
        <v>294</v>
      </c>
      <c r="E60" s="46" t="s">
        <v>274</v>
      </c>
      <c r="F60" s="35">
        <v>45000</v>
      </c>
      <c r="G60" s="40">
        <v>39400</v>
      </c>
      <c r="H60" s="35">
        <f>45000+90000+50000+45000</f>
        <v>230000</v>
      </c>
      <c r="I60" s="35">
        <f t="shared" si="12"/>
        <v>269400</v>
      </c>
      <c r="J60" s="36">
        <f t="shared" si="13"/>
        <v>5.8375634517766501</v>
      </c>
      <c r="K60" s="48" t="s">
        <v>37</v>
      </c>
      <c r="L60" s="48" t="s">
        <v>37</v>
      </c>
      <c r="M60" s="38">
        <v>41090</v>
      </c>
      <c r="N60" s="48" t="s">
        <v>36</v>
      </c>
      <c r="O60" s="41">
        <v>45000</v>
      </c>
      <c r="P60" s="41"/>
      <c r="Q60" s="41"/>
    </row>
    <row r="61" spans="1:17" s="15" customFormat="1" ht="26.25" customHeight="1" x14ac:dyDescent="0.2">
      <c r="A61" s="43" t="s">
        <v>259</v>
      </c>
      <c r="B61" s="46" t="s">
        <v>281</v>
      </c>
      <c r="C61" s="44" t="s">
        <v>290</v>
      </c>
      <c r="D61" s="34">
        <v>4161</v>
      </c>
      <c r="E61" s="46" t="s">
        <v>275</v>
      </c>
      <c r="F61" s="35">
        <v>60000</v>
      </c>
      <c r="G61" s="40">
        <v>60000</v>
      </c>
      <c r="H61" s="35">
        <v>0</v>
      </c>
      <c r="I61" s="35">
        <f t="shared" si="12"/>
        <v>60000</v>
      </c>
      <c r="J61" s="36">
        <f t="shared" si="13"/>
        <v>0</v>
      </c>
      <c r="K61" s="48" t="s">
        <v>37</v>
      </c>
      <c r="L61" s="48" t="s">
        <v>37</v>
      </c>
      <c r="M61" s="38">
        <v>41639</v>
      </c>
      <c r="N61" s="37"/>
      <c r="O61" s="41">
        <v>60000</v>
      </c>
      <c r="P61" s="41"/>
      <c r="Q61" s="41"/>
    </row>
    <row r="62" spans="1:17" s="15" customFormat="1" ht="26.25" customHeight="1" x14ac:dyDescent="0.2">
      <c r="A62" s="43" t="s">
        <v>260</v>
      </c>
      <c r="B62" s="46" t="s">
        <v>26</v>
      </c>
      <c r="C62" s="44" t="s">
        <v>291</v>
      </c>
      <c r="D62" s="47" t="s">
        <v>295</v>
      </c>
      <c r="E62" s="46" t="s">
        <v>276</v>
      </c>
      <c r="F62" s="35">
        <v>99000</v>
      </c>
      <c r="G62" s="40">
        <v>99000</v>
      </c>
      <c r="H62" s="35">
        <v>0</v>
      </c>
      <c r="I62" s="35">
        <f t="shared" si="12"/>
        <v>99000</v>
      </c>
      <c r="J62" s="36">
        <f t="shared" si="13"/>
        <v>0</v>
      </c>
      <c r="K62" s="48" t="s">
        <v>37</v>
      </c>
      <c r="L62" s="48" t="s">
        <v>37</v>
      </c>
      <c r="M62" s="38">
        <v>41455</v>
      </c>
      <c r="N62" s="37"/>
      <c r="O62" s="41">
        <v>99000</v>
      </c>
      <c r="P62" s="41"/>
      <c r="Q62" s="41"/>
    </row>
    <row r="63" spans="1:17" s="15" customFormat="1" ht="26.25" customHeight="1" x14ac:dyDescent="0.2">
      <c r="A63" s="43" t="s">
        <v>261</v>
      </c>
      <c r="B63" s="46" t="s">
        <v>125</v>
      </c>
      <c r="C63" s="44" t="s">
        <v>81</v>
      </c>
      <c r="D63" s="47" t="s">
        <v>296</v>
      </c>
      <c r="E63" s="46" t="s">
        <v>277</v>
      </c>
      <c r="F63" s="35">
        <v>50000</v>
      </c>
      <c r="G63" s="40">
        <v>50000</v>
      </c>
      <c r="H63" s="35">
        <v>50000</v>
      </c>
      <c r="I63" s="35">
        <f t="shared" si="12"/>
        <v>100000</v>
      </c>
      <c r="J63" s="36">
        <f t="shared" si="13"/>
        <v>1</v>
      </c>
      <c r="K63" s="48" t="s">
        <v>37</v>
      </c>
      <c r="L63" s="48" t="s">
        <v>37</v>
      </c>
      <c r="M63" s="38">
        <v>41455</v>
      </c>
      <c r="N63" s="48" t="s">
        <v>36</v>
      </c>
      <c r="O63" s="41">
        <v>50000</v>
      </c>
      <c r="P63" s="41"/>
      <c r="Q63" s="41"/>
    </row>
    <row r="64" spans="1:17" s="15" customFormat="1" ht="26.25" customHeight="1" x14ac:dyDescent="0.2">
      <c r="A64" s="43" t="s">
        <v>262</v>
      </c>
      <c r="B64" s="46" t="s">
        <v>40</v>
      </c>
      <c r="C64" s="44" t="s">
        <v>61</v>
      </c>
      <c r="D64" s="34">
        <v>4138</v>
      </c>
      <c r="E64" s="46" t="s">
        <v>63</v>
      </c>
      <c r="F64" s="35">
        <f>95000*3</f>
        <v>285000</v>
      </c>
      <c r="G64" s="40">
        <f>95000*3</f>
        <v>285000</v>
      </c>
      <c r="H64" s="35">
        <v>0</v>
      </c>
      <c r="I64" s="35">
        <f t="shared" si="12"/>
        <v>285000</v>
      </c>
      <c r="J64" s="36">
        <f t="shared" si="13"/>
        <v>0</v>
      </c>
      <c r="K64" s="48" t="s">
        <v>37</v>
      </c>
      <c r="L64" s="48" t="s">
        <v>37</v>
      </c>
      <c r="M64" s="38">
        <v>41455</v>
      </c>
      <c r="N64" s="48" t="s">
        <v>64</v>
      </c>
      <c r="O64" s="41">
        <v>95000</v>
      </c>
      <c r="P64" s="41">
        <v>95000</v>
      </c>
      <c r="Q64" s="41">
        <v>95000</v>
      </c>
    </row>
    <row r="65" spans="1:17" s="15" customFormat="1" ht="26.25" customHeight="1" x14ac:dyDescent="0.2">
      <c r="A65" s="43" t="s">
        <v>263</v>
      </c>
      <c r="B65" s="46" t="s">
        <v>49</v>
      </c>
      <c r="C65" s="44" t="s">
        <v>111</v>
      </c>
      <c r="D65" s="47">
        <v>4257</v>
      </c>
      <c r="E65" s="46" t="s">
        <v>109</v>
      </c>
      <c r="F65" s="35">
        <v>75000</v>
      </c>
      <c r="G65" s="40">
        <v>75000</v>
      </c>
      <c r="H65" s="35">
        <v>0</v>
      </c>
      <c r="I65" s="35">
        <f t="shared" si="12"/>
        <v>75000</v>
      </c>
      <c r="J65" s="36">
        <f t="shared" si="13"/>
        <v>0</v>
      </c>
      <c r="K65" s="48" t="s">
        <v>37</v>
      </c>
      <c r="L65" s="48" t="s">
        <v>37</v>
      </c>
      <c r="M65" s="38">
        <v>41455</v>
      </c>
      <c r="N65" s="37"/>
      <c r="O65" s="41">
        <v>75000</v>
      </c>
      <c r="P65" s="41"/>
      <c r="Q65" s="41"/>
    </row>
    <row r="66" spans="1:17" s="15" customFormat="1" ht="26.25" customHeight="1" x14ac:dyDescent="0.2">
      <c r="A66" s="43" t="s">
        <v>264</v>
      </c>
      <c r="B66" s="46" t="s">
        <v>92</v>
      </c>
      <c r="C66" s="44" t="s">
        <v>99</v>
      </c>
      <c r="D66" s="47">
        <v>3948</v>
      </c>
      <c r="E66" s="46" t="s">
        <v>278</v>
      </c>
      <c r="F66" s="35">
        <f>80000*3</f>
        <v>240000</v>
      </c>
      <c r="G66" s="40">
        <f>80000*3</f>
        <v>240000</v>
      </c>
      <c r="H66" s="35">
        <v>0</v>
      </c>
      <c r="I66" s="35">
        <f t="shared" si="12"/>
        <v>240000</v>
      </c>
      <c r="J66" s="36">
        <f t="shared" si="13"/>
        <v>0</v>
      </c>
      <c r="K66" s="48" t="s">
        <v>37</v>
      </c>
      <c r="L66" s="48" t="s">
        <v>37</v>
      </c>
      <c r="M66" s="38">
        <v>41455</v>
      </c>
      <c r="N66" s="48" t="s">
        <v>64</v>
      </c>
      <c r="O66" s="41">
        <v>80000</v>
      </c>
      <c r="P66" s="41">
        <v>80000</v>
      </c>
      <c r="Q66" s="41">
        <v>80000</v>
      </c>
    </row>
    <row r="67" spans="1:17" s="15" customFormat="1" ht="26.25" customHeight="1" x14ac:dyDescent="0.2">
      <c r="A67" s="43" t="s">
        <v>265</v>
      </c>
      <c r="B67" s="46" t="s">
        <v>46</v>
      </c>
      <c r="C67" s="44" t="s">
        <v>292</v>
      </c>
      <c r="D67" s="34">
        <v>4273</v>
      </c>
      <c r="E67" s="46" t="s">
        <v>279</v>
      </c>
      <c r="F67" s="35">
        <f>90960*3</f>
        <v>272880</v>
      </c>
      <c r="G67" s="40">
        <f>90960*3</f>
        <v>272880</v>
      </c>
      <c r="H67" s="35">
        <v>0</v>
      </c>
      <c r="I67" s="35">
        <f t="shared" ref="I67:I74" si="14">G67+H67</f>
        <v>272880</v>
      </c>
      <c r="J67" s="36">
        <f t="shared" ref="J67:J74" si="15">IF(G67=0,100%,(I67-G67)/G67)</f>
        <v>0</v>
      </c>
      <c r="K67" s="48" t="s">
        <v>37</v>
      </c>
      <c r="L67" s="48" t="s">
        <v>42</v>
      </c>
      <c r="M67" s="38">
        <v>41455</v>
      </c>
      <c r="N67" s="48" t="s">
        <v>64</v>
      </c>
      <c r="O67" s="41">
        <v>90960</v>
      </c>
      <c r="P67" s="41">
        <v>90960</v>
      </c>
      <c r="Q67" s="41">
        <v>90960</v>
      </c>
    </row>
    <row r="68" spans="1:17" s="15" customFormat="1" ht="38.25" customHeight="1" x14ac:dyDescent="0.2">
      <c r="A68" s="43" t="s">
        <v>266</v>
      </c>
      <c r="B68" s="46" t="s">
        <v>18</v>
      </c>
      <c r="C68" s="44" t="s">
        <v>293</v>
      </c>
      <c r="D68" s="34">
        <v>4093</v>
      </c>
      <c r="E68" s="46" t="s">
        <v>280</v>
      </c>
      <c r="F68" s="35">
        <v>99000</v>
      </c>
      <c r="G68" s="40">
        <v>99000</v>
      </c>
      <c r="H68" s="35">
        <v>0</v>
      </c>
      <c r="I68" s="35">
        <f t="shared" si="14"/>
        <v>99000</v>
      </c>
      <c r="J68" s="36">
        <f t="shared" si="15"/>
        <v>0</v>
      </c>
      <c r="K68" s="48" t="s">
        <v>37</v>
      </c>
      <c r="L68" s="48" t="s">
        <v>37</v>
      </c>
      <c r="M68" s="52" t="s">
        <v>69</v>
      </c>
      <c r="N68" s="37"/>
      <c r="O68" s="41">
        <v>99000</v>
      </c>
      <c r="P68" s="41"/>
      <c r="Q68" s="41"/>
    </row>
    <row r="69" spans="1:17" s="15" customFormat="1" ht="26.25" customHeight="1" x14ac:dyDescent="0.2">
      <c r="A69" s="43" t="s">
        <v>297</v>
      </c>
      <c r="B69" s="46" t="s">
        <v>40</v>
      </c>
      <c r="C69" s="44" t="s">
        <v>56</v>
      </c>
      <c r="D69" s="34">
        <v>4131</v>
      </c>
      <c r="E69" s="46" t="s">
        <v>311</v>
      </c>
      <c r="F69" s="35">
        <f>39000*3</f>
        <v>117000</v>
      </c>
      <c r="G69" s="40">
        <f>39000*3</f>
        <v>117000</v>
      </c>
      <c r="H69" s="35">
        <v>0</v>
      </c>
      <c r="I69" s="35">
        <f t="shared" si="14"/>
        <v>117000</v>
      </c>
      <c r="J69" s="36">
        <f t="shared" si="15"/>
        <v>0</v>
      </c>
      <c r="K69" s="48" t="s">
        <v>37</v>
      </c>
      <c r="L69" s="48" t="s">
        <v>37</v>
      </c>
      <c r="M69" s="38">
        <v>41455</v>
      </c>
      <c r="N69" s="48" t="s">
        <v>64</v>
      </c>
      <c r="O69" s="41">
        <v>39000</v>
      </c>
      <c r="P69" s="41">
        <v>39000</v>
      </c>
      <c r="Q69" s="41">
        <v>39000</v>
      </c>
    </row>
    <row r="70" spans="1:17" s="15" customFormat="1" ht="26.25" customHeight="1" x14ac:dyDescent="0.2">
      <c r="A70" s="43" t="s">
        <v>298</v>
      </c>
      <c r="B70" s="46" t="s">
        <v>75</v>
      </c>
      <c r="C70" s="44" t="s">
        <v>77</v>
      </c>
      <c r="D70" s="34">
        <v>4168</v>
      </c>
      <c r="E70" s="46" t="s">
        <v>79</v>
      </c>
      <c r="F70" s="35">
        <v>45000</v>
      </c>
      <c r="G70" s="40">
        <v>45000</v>
      </c>
      <c r="H70" s="35">
        <v>0</v>
      </c>
      <c r="I70" s="35">
        <f t="shared" si="14"/>
        <v>45000</v>
      </c>
      <c r="J70" s="36">
        <f t="shared" si="15"/>
        <v>0</v>
      </c>
      <c r="K70" s="48" t="s">
        <v>37</v>
      </c>
      <c r="L70" s="48" t="s">
        <v>37</v>
      </c>
      <c r="M70" s="38">
        <v>41455</v>
      </c>
      <c r="N70" s="37"/>
      <c r="O70" s="41">
        <v>45000</v>
      </c>
      <c r="P70" s="41"/>
      <c r="Q70" s="41"/>
    </row>
    <row r="71" spans="1:17" s="15" customFormat="1" ht="26.25" customHeight="1" x14ac:dyDescent="0.2">
      <c r="A71" s="43" t="s">
        <v>299</v>
      </c>
      <c r="B71" s="46" t="s">
        <v>17</v>
      </c>
      <c r="C71" s="44" t="s">
        <v>306</v>
      </c>
      <c r="D71" s="34">
        <v>4174</v>
      </c>
      <c r="E71" s="46" t="s">
        <v>312</v>
      </c>
      <c r="F71" s="35">
        <v>16000</v>
      </c>
      <c r="G71" s="40">
        <v>16000</v>
      </c>
      <c r="H71" s="35">
        <v>0</v>
      </c>
      <c r="I71" s="35">
        <f t="shared" si="14"/>
        <v>16000</v>
      </c>
      <c r="J71" s="36">
        <f t="shared" si="15"/>
        <v>0</v>
      </c>
      <c r="K71" s="48" t="s">
        <v>37</v>
      </c>
      <c r="L71" s="48" t="s">
        <v>37</v>
      </c>
      <c r="M71" s="38">
        <v>41455</v>
      </c>
      <c r="N71" s="37"/>
      <c r="O71" s="41">
        <v>16000</v>
      </c>
      <c r="P71" s="41"/>
      <c r="Q71" s="41"/>
    </row>
    <row r="72" spans="1:17" s="15" customFormat="1" ht="26.25" customHeight="1" x14ac:dyDescent="0.2">
      <c r="A72" s="43" t="s">
        <v>300</v>
      </c>
      <c r="B72" s="46" t="s">
        <v>67</v>
      </c>
      <c r="C72" s="44" t="s">
        <v>307</v>
      </c>
      <c r="D72" s="34">
        <v>4178</v>
      </c>
      <c r="E72" s="46" t="s">
        <v>313</v>
      </c>
      <c r="F72" s="35">
        <v>22000</v>
      </c>
      <c r="G72" s="40">
        <v>22000</v>
      </c>
      <c r="H72" s="35">
        <v>0</v>
      </c>
      <c r="I72" s="35">
        <f t="shared" si="14"/>
        <v>22000</v>
      </c>
      <c r="J72" s="36">
        <f t="shared" si="15"/>
        <v>0</v>
      </c>
      <c r="K72" s="48" t="s">
        <v>37</v>
      </c>
      <c r="L72" s="48" t="s">
        <v>37</v>
      </c>
      <c r="M72" s="38">
        <v>41455</v>
      </c>
      <c r="N72" s="37"/>
      <c r="O72" s="41">
        <v>22000</v>
      </c>
      <c r="P72" s="41"/>
      <c r="Q72" s="41"/>
    </row>
    <row r="73" spans="1:17" s="15" customFormat="1" ht="26.25" customHeight="1" x14ac:dyDescent="0.2">
      <c r="A73" s="43" t="s">
        <v>301</v>
      </c>
      <c r="B73" s="46" t="s">
        <v>47</v>
      </c>
      <c r="C73" s="44" t="s">
        <v>308</v>
      </c>
      <c r="D73" s="34">
        <v>3875</v>
      </c>
      <c r="E73" s="46" t="s">
        <v>62</v>
      </c>
      <c r="F73" s="35">
        <f>45000*3</f>
        <v>135000</v>
      </c>
      <c r="G73" s="40">
        <f>45000*3</f>
        <v>135000</v>
      </c>
      <c r="H73" s="35">
        <v>0</v>
      </c>
      <c r="I73" s="35">
        <f t="shared" si="14"/>
        <v>135000</v>
      </c>
      <c r="J73" s="36">
        <f t="shared" si="15"/>
        <v>0</v>
      </c>
      <c r="K73" s="48" t="s">
        <v>37</v>
      </c>
      <c r="L73" s="48" t="s">
        <v>42</v>
      </c>
      <c r="M73" s="38">
        <v>41455</v>
      </c>
      <c r="N73" s="48" t="s">
        <v>64</v>
      </c>
      <c r="O73" s="41">
        <v>45000</v>
      </c>
      <c r="P73" s="41">
        <v>45000</v>
      </c>
      <c r="Q73" s="41">
        <v>45000</v>
      </c>
    </row>
    <row r="74" spans="1:17" s="15" customFormat="1" ht="26.25" customHeight="1" x14ac:dyDescent="0.2">
      <c r="A74" s="43" t="s">
        <v>302</v>
      </c>
      <c r="B74" s="46" t="s">
        <v>48</v>
      </c>
      <c r="C74" s="44" t="s">
        <v>309</v>
      </c>
      <c r="D74" s="34">
        <v>3983</v>
      </c>
      <c r="E74" s="46" t="s">
        <v>315</v>
      </c>
      <c r="F74" s="35">
        <v>2500</v>
      </c>
      <c r="G74" s="40">
        <v>70000</v>
      </c>
      <c r="H74" s="35">
        <v>2500</v>
      </c>
      <c r="I74" s="35">
        <f t="shared" si="14"/>
        <v>72500</v>
      </c>
      <c r="J74" s="36">
        <f t="shared" si="15"/>
        <v>3.5714285714285712E-2</v>
      </c>
      <c r="K74" s="48" t="s">
        <v>37</v>
      </c>
      <c r="L74" s="56" t="s">
        <v>37</v>
      </c>
      <c r="M74" s="38">
        <v>41090</v>
      </c>
      <c r="N74" s="48" t="s">
        <v>36</v>
      </c>
      <c r="O74" s="41">
        <v>2500</v>
      </c>
      <c r="P74" s="41"/>
      <c r="Q74" s="41"/>
    </row>
    <row r="75" spans="1:17" s="15" customFormat="1" ht="26.25" customHeight="1" x14ac:dyDescent="0.2">
      <c r="A75" s="43" t="s">
        <v>303</v>
      </c>
      <c r="B75" s="46" t="s">
        <v>48</v>
      </c>
      <c r="C75" s="44" t="s">
        <v>104</v>
      </c>
      <c r="D75" s="34">
        <v>3982</v>
      </c>
      <c r="E75" s="46" t="s">
        <v>314</v>
      </c>
      <c r="F75" s="35">
        <v>3200</v>
      </c>
      <c r="G75" s="40">
        <v>17500</v>
      </c>
      <c r="H75" s="35">
        <f>10000+3200</f>
        <v>13200</v>
      </c>
      <c r="I75" s="35">
        <f t="shared" ref="I75:I92" si="16">G75+H75</f>
        <v>30700</v>
      </c>
      <c r="J75" s="36">
        <f t="shared" ref="J75:J92" si="17">IF(G75=0,100%,(I75-G75)/G75)</f>
        <v>0.75428571428571434</v>
      </c>
      <c r="K75" s="48" t="s">
        <v>37</v>
      </c>
      <c r="L75" s="48" t="s">
        <v>37</v>
      </c>
      <c r="M75" s="38">
        <v>41090</v>
      </c>
      <c r="N75" s="48" t="s">
        <v>36</v>
      </c>
      <c r="O75" s="41">
        <v>3200</v>
      </c>
      <c r="P75" s="41"/>
      <c r="Q75" s="41"/>
    </row>
    <row r="76" spans="1:17" s="15" customFormat="1" ht="38.25" customHeight="1" x14ac:dyDescent="0.2">
      <c r="A76" s="43" t="s">
        <v>304</v>
      </c>
      <c r="B76" s="46" t="s">
        <v>48</v>
      </c>
      <c r="C76" s="44" t="s">
        <v>310</v>
      </c>
      <c r="D76" s="47">
        <v>4266</v>
      </c>
      <c r="E76" s="46" t="s">
        <v>316</v>
      </c>
      <c r="F76" s="35">
        <v>39819</v>
      </c>
      <c r="G76" s="40">
        <v>39819</v>
      </c>
      <c r="H76" s="35">
        <v>0</v>
      </c>
      <c r="I76" s="35">
        <f t="shared" si="16"/>
        <v>39819</v>
      </c>
      <c r="J76" s="36">
        <f t="shared" si="17"/>
        <v>0</v>
      </c>
      <c r="K76" s="48" t="s">
        <v>37</v>
      </c>
      <c r="L76" s="48" t="s">
        <v>37</v>
      </c>
      <c r="M76" s="38">
        <v>41182</v>
      </c>
      <c r="N76" s="48"/>
      <c r="O76" s="41">
        <v>39819</v>
      </c>
      <c r="P76" s="41"/>
      <c r="Q76" s="41"/>
    </row>
    <row r="77" spans="1:17" s="15" customFormat="1" ht="26.25" customHeight="1" x14ac:dyDescent="0.2">
      <c r="A77" s="43" t="s">
        <v>305</v>
      </c>
      <c r="B77" s="46" t="s">
        <v>26</v>
      </c>
      <c r="C77" s="44" t="s">
        <v>342</v>
      </c>
      <c r="D77" s="47" t="s">
        <v>356</v>
      </c>
      <c r="E77" s="46" t="s">
        <v>276</v>
      </c>
      <c r="F77" s="35">
        <v>20000</v>
      </c>
      <c r="G77" s="40">
        <v>20000</v>
      </c>
      <c r="H77" s="35">
        <v>0</v>
      </c>
      <c r="I77" s="35">
        <f t="shared" si="16"/>
        <v>20000</v>
      </c>
      <c r="J77" s="36">
        <f t="shared" si="17"/>
        <v>0</v>
      </c>
      <c r="K77" s="48" t="s">
        <v>37</v>
      </c>
      <c r="L77" s="48" t="s">
        <v>37</v>
      </c>
      <c r="M77" s="38">
        <v>41455</v>
      </c>
      <c r="N77" s="37"/>
      <c r="O77" s="41">
        <v>20000</v>
      </c>
      <c r="P77" s="41"/>
      <c r="Q77" s="41"/>
    </row>
    <row r="78" spans="1:17" s="15" customFormat="1" ht="26.25" customHeight="1" x14ac:dyDescent="0.2">
      <c r="A78" s="43" t="s">
        <v>317</v>
      </c>
      <c r="B78" s="46" t="s">
        <v>26</v>
      </c>
      <c r="C78" s="44" t="s">
        <v>343</v>
      </c>
      <c r="D78" s="47" t="s">
        <v>357</v>
      </c>
      <c r="E78" s="46" t="s">
        <v>276</v>
      </c>
      <c r="F78" s="35">
        <v>20000</v>
      </c>
      <c r="G78" s="40">
        <v>20000</v>
      </c>
      <c r="H78" s="35">
        <v>0</v>
      </c>
      <c r="I78" s="35">
        <f t="shared" si="16"/>
        <v>20000</v>
      </c>
      <c r="J78" s="36">
        <f t="shared" si="17"/>
        <v>0</v>
      </c>
      <c r="K78" s="48" t="s">
        <v>37</v>
      </c>
      <c r="L78" s="48" t="s">
        <v>37</v>
      </c>
      <c r="M78" s="38">
        <v>41455</v>
      </c>
      <c r="N78" s="37"/>
      <c r="O78" s="41">
        <v>20000</v>
      </c>
      <c r="P78" s="41"/>
      <c r="Q78" s="41"/>
    </row>
    <row r="79" spans="1:17" s="15" customFormat="1" ht="38.25" customHeight="1" x14ac:dyDescent="0.2">
      <c r="A79" s="43" t="s">
        <v>318</v>
      </c>
      <c r="B79" s="46" t="s">
        <v>26</v>
      </c>
      <c r="C79" s="44" t="s">
        <v>32</v>
      </c>
      <c r="D79" s="47" t="s">
        <v>359</v>
      </c>
      <c r="E79" s="46" t="s">
        <v>382</v>
      </c>
      <c r="F79" s="35">
        <v>15000</v>
      </c>
      <c r="G79" s="40">
        <v>15000</v>
      </c>
      <c r="H79" s="35">
        <v>0</v>
      </c>
      <c r="I79" s="35">
        <f t="shared" si="16"/>
        <v>15000</v>
      </c>
      <c r="J79" s="36">
        <f t="shared" si="17"/>
        <v>0</v>
      </c>
      <c r="K79" s="48" t="s">
        <v>37</v>
      </c>
      <c r="L79" s="48" t="s">
        <v>37</v>
      </c>
      <c r="M79" s="38">
        <v>41455</v>
      </c>
      <c r="N79" s="37"/>
      <c r="O79" s="41">
        <v>15000</v>
      </c>
      <c r="P79" s="41"/>
      <c r="Q79" s="41"/>
    </row>
    <row r="80" spans="1:17" s="15" customFormat="1" ht="26.25" customHeight="1" x14ac:dyDescent="0.2">
      <c r="A80" s="43" t="s">
        <v>319</v>
      </c>
      <c r="B80" s="46" t="s">
        <v>26</v>
      </c>
      <c r="C80" s="44" t="s">
        <v>32</v>
      </c>
      <c r="D80" s="47" t="s">
        <v>360</v>
      </c>
      <c r="E80" s="46" t="s">
        <v>35</v>
      </c>
      <c r="F80" s="35">
        <v>15000</v>
      </c>
      <c r="G80" s="40">
        <v>15000</v>
      </c>
      <c r="H80" s="35">
        <v>0</v>
      </c>
      <c r="I80" s="35">
        <f t="shared" si="16"/>
        <v>15000</v>
      </c>
      <c r="J80" s="36">
        <f t="shared" si="17"/>
        <v>0</v>
      </c>
      <c r="K80" s="48" t="s">
        <v>37</v>
      </c>
      <c r="L80" s="48" t="s">
        <v>37</v>
      </c>
      <c r="M80" s="38">
        <v>41455</v>
      </c>
      <c r="N80" s="48"/>
      <c r="O80" s="41">
        <v>15000</v>
      </c>
      <c r="P80" s="41"/>
      <c r="Q80" s="41"/>
    </row>
    <row r="81" spans="1:17" s="15" customFormat="1" ht="26.25" customHeight="1" x14ac:dyDescent="0.2">
      <c r="A81" s="43" t="s">
        <v>320</v>
      </c>
      <c r="B81" s="46" t="s">
        <v>26</v>
      </c>
      <c r="C81" s="44" t="s">
        <v>24</v>
      </c>
      <c r="D81" s="47" t="s">
        <v>361</v>
      </c>
      <c r="E81" s="46" t="s">
        <v>33</v>
      </c>
      <c r="F81" s="35">
        <v>25000</v>
      </c>
      <c r="G81" s="40">
        <v>25000</v>
      </c>
      <c r="H81" s="35">
        <v>0</v>
      </c>
      <c r="I81" s="35">
        <f t="shared" si="16"/>
        <v>25000</v>
      </c>
      <c r="J81" s="36">
        <f t="shared" si="17"/>
        <v>0</v>
      </c>
      <c r="K81" s="48" t="s">
        <v>37</v>
      </c>
      <c r="L81" s="48" t="s">
        <v>37</v>
      </c>
      <c r="M81" s="38">
        <v>41455</v>
      </c>
      <c r="N81" s="37"/>
      <c r="O81" s="41">
        <v>25000</v>
      </c>
      <c r="P81" s="41"/>
      <c r="Q81" s="41"/>
    </row>
    <row r="82" spans="1:17" s="15" customFormat="1" ht="26.25" customHeight="1" x14ac:dyDescent="0.2">
      <c r="A82" s="43" t="s">
        <v>321</v>
      </c>
      <c r="B82" s="46" t="s">
        <v>26</v>
      </c>
      <c r="C82" s="44" t="s">
        <v>344</v>
      </c>
      <c r="D82" s="47" t="s">
        <v>362</v>
      </c>
      <c r="E82" s="46" t="s">
        <v>33</v>
      </c>
      <c r="F82" s="35">
        <v>20000</v>
      </c>
      <c r="G82" s="40">
        <v>20000</v>
      </c>
      <c r="H82" s="35">
        <v>0</v>
      </c>
      <c r="I82" s="35">
        <f t="shared" si="16"/>
        <v>20000</v>
      </c>
      <c r="J82" s="36">
        <f t="shared" si="17"/>
        <v>0</v>
      </c>
      <c r="K82" s="48" t="s">
        <v>37</v>
      </c>
      <c r="L82" s="48" t="s">
        <v>37</v>
      </c>
      <c r="M82" s="38">
        <v>41455</v>
      </c>
      <c r="N82" s="37"/>
      <c r="O82" s="41">
        <v>20000</v>
      </c>
      <c r="P82" s="41"/>
      <c r="Q82" s="41"/>
    </row>
    <row r="83" spans="1:17" s="15" customFormat="1" ht="26.25" customHeight="1" x14ac:dyDescent="0.2">
      <c r="A83" s="43" t="s">
        <v>322</v>
      </c>
      <c r="B83" s="46" t="s">
        <v>26</v>
      </c>
      <c r="C83" s="44" t="s">
        <v>345</v>
      </c>
      <c r="D83" s="47" t="s">
        <v>363</v>
      </c>
      <c r="E83" s="46" t="s">
        <v>35</v>
      </c>
      <c r="F83" s="35">
        <v>15000</v>
      </c>
      <c r="G83" s="40">
        <v>15000</v>
      </c>
      <c r="H83" s="35">
        <v>0</v>
      </c>
      <c r="I83" s="35">
        <f t="shared" si="16"/>
        <v>15000</v>
      </c>
      <c r="J83" s="36">
        <f t="shared" si="17"/>
        <v>0</v>
      </c>
      <c r="K83" s="48" t="s">
        <v>37</v>
      </c>
      <c r="L83" s="48" t="s">
        <v>37</v>
      </c>
      <c r="M83" s="38">
        <v>41455</v>
      </c>
      <c r="N83" s="37"/>
      <c r="O83" s="41">
        <v>15000</v>
      </c>
      <c r="P83" s="41"/>
      <c r="Q83" s="41"/>
    </row>
    <row r="84" spans="1:17" s="15" customFormat="1" ht="26.25" customHeight="1" x14ac:dyDescent="0.2">
      <c r="A84" s="43" t="s">
        <v>323</v>
      </c>
      <c r="B84" s="46" t="s">
        <v>26</v>
      </c>
      <c r="C84" s="44" t="s">
        <v>346</v>
      </c>
      <c r="D84" s="47" t="s">
        <v>364</v>
      </c>
      <c r="E84" s="46" t="s">
        <v>34</v>
      </c>
      <c r="F84" s="35">
        <v>20000</v>
      </c>
      <c r="G84" s="40">
        <v>20000</v>
      </c>
      <c r="H84" s="35">
        <v>0</v>
      </c>
      <c r="I84" s="35">
        <f t="shared" si="16"/>
        <v>20000</v>
      </c>
      <c r="J84" s="36">
        <f t="shared" si="17"/>
        <v>0</v>
      </c>
      <c r="K84" s="48" t="s">
        <v>37</v>
      </c>
      <c r="L84" s="48" t="s">
        <v>37</v>
      </c>
      <c r="M84" s="38">
        <v>41455</v>
      </c>
      <c r="N84" s="48"/>
      <c r="O84" s="41">
        <v>20000</v>
      </c>
      <c r="P84" s="41"/>
      <c r="Q84" s="41"/>
    </row>
    <row r="85" spans="1:17" s="15" customFormat="1" ht="26.25" customHeight="1" x14ac:dyDescent="0.2">
      <c r="A85" s="43" t="s">
        <v>324</v>
      </c>
      <c r="B85" s="46" t="s">
        <v>26</v>
      </c>
      <c r="C85" s="44" t="s">
        <v>347</v>
      </c>
      <c r="D85" s="47" t="s">
        <v>365</v>
      </c>
      <c r="E85" s="46" t="s">
        <v>35</v>
      </c>
      <c r="F85" s="35">
        <v>20000</v>
      </c>
      <c r="G85" s="40">
        <v>20000</v>
      </c>
      <c r="H85" s="35">
        <v>0</v>
      </c>
      <c r="I85" s="35">
        <f t="shared" si="16"/>
        <v>20000</v>
      </c>
      <c r="J85" s="36">
        <f t="shared" si="17"/>
        <v>0</v>
      </c>
      <c r="K85" s="48" t="s">
        <v>37</v>
      </c>
      <c r="L85" s="48" t="s">
        <v>37</v>
      </c>
      <c r="M85" s="38">
        <v>41455</v>
      </c>
      <c r="N85" s="48"/>
      <c r="O85" s="41">
        <v>20000</v>
      </c>
      <c r="P85" s="41"/>
      <c r="Q85" s="41"/>
    </row>
    <row r="86" spans="1:17" s="15" customFormat="1" ht="26.25" customHeight="1" x14ac:dyDescent="0.2">
      <c r="A86" s="43" t="s">
        <v>325</v>
      </c>
      <c r="B86" s="46" t="s">
        <v>26</v>
      </c>
      <c r="C86" s="44" t="s">
        <v>348</v>
      </c>
      <c r="D86" s="47" t="s">
        <v>366</v>
      </c>
      <c r="E86" s="46" t="s">
        <v>35</v>
      </c>
      <c r="F86" s="35">
        <v>45000</v>
      </c>
      <c r="G86" s="40">
        <v>45000</v>
      </c>
      <c r="H86" s="35">
        <v>0</v>
      </c>
      <c r="I86" s="35">
        <f t="shared" si="16"/>
        <v>45000</v>
      </c>
      <c r="J86" s="36">
        <f t="shared" si="17"/>
        <v>0</v>
      </c>
      <c r="K86" s="48" t="s">
        <v>37</v>
      </c>
      <c r="L86" s="48" t="s">
        <v>37</v>
      </c>
      <c r="M86" s="38">
        <v>41455</v>
      </c>
      <c r="N86" s="37"/>
      <c r="O86" s="41">
        <v>45000</v>
      </c>
      <c r="P86" s="41"/>
      <c r="Q86" s="41"/>
    </row>
    <row r="87" spans="1:17" s="15" customFormat="1" ht="38.25" customHeight="1" x14ac:dyDescent="0.2">
      <c r="A87" s="43" t="s">
        <v>326</v>
      </c>
      <c r="B87" s="46" t="s">
        <v>26</v>
      </c>
      <c r="C87" s="44" t="s">
        <v>23</v>
      </c>
      <c r="D87" s="47" t="s">
        <v>367</v>
      </c>
      <c r="E87" s="46" t="s">
        <v>383</v>
      </c>
      <c r="F87" s="35">
        <v>20000</v>
      </c>
      <c r="G87" s="40">
        <v>20000</v>
      </c>
      <c r="H87" s="35">
        <v>0</v>
      </c>
      <c r="I87" s="35">
        <f>G87+H87</f>
        <v>20000</v>
      </c>
      <c r="J87" s="36">
        <f>IF(G87=0,100%,(I87-G87)/G87)</f>
        <v>0</v>
      </c>
      <c r="K87" s="48" t="s">
        <v>37</v>
      </c>
      <c r="L87" s="48" t="s">
        <v>37</v>
      </c>
      <c r="M87" s="38">
        <v>41455</v>
      </c>
      <c r="N87" s="37"/>
      <c r="O87" s="41">
        <v>20000</v>
      </c>
      <c r="P87" s="41"/>
      <c r="Q87" s="41"/>
    </row>
    <row r="88" spans="1:17" s="15" customFormat="1" ht="38.25" customHeight="1" x14ac:dyDescent="0.2">
      <c r="A88" s="43" t="s">
        <v>327</v>
      </c>
      <c r="B88" s="46" t="s">
        <v>26</v>
      </c>
      <c r="C88" s="44" t="s">
        <v>23</v>
      </c>
      <c r="D88" s="47" t="s">
        <v>368</v>
      </c>
      <c r="E88" s="46" t="s">
        <v>384</v>
      </c>
      <c r="F88" s="35">
        <v>15000</v>
      </c>
      <c r="G88" s="40">
        <v>15000</v>
      </c>
      <c r="H88" s="35">
        <v>0</v>
      </c>
      <c r="I88" s="35">
        <f t="shared" si="16"/>
        <v>15000</v>
      </c>
      <c r="J88" s="36">
        <f t="shared" si="17"/>
        <v>0</v>
      </c>
      <c r="K88" s="48" t="s">
        <v>37</v>
      </c>
      <c r="L88" s="48" t="s">
        <v>37</v>
      </c>
      <c r="M88" s="38">
        <v>41455</v>
      </c>
      <c r="N88" s="37"/>
      <c r="O88" s="41">
        <v>15000</v>
      </c>
      <c r="P88" s="41"/>
      <c r="Q88" s="41"/>
    </row>
    <row r="89" spans="1:17" s="15" customFormat="1" ht="26.25" customHeight="1" x14ac:dyDescent="0.2">
      <c r="A89" s="43" t="s">
        <v>328</v>
      </c>
      <c r="B89" s="46" t="s">
        <v>26</v>
      </c>
      <c r="C89" s="44" t="s">
        <v>23</v>
      </c>
      <c r="D89" s="47" t="s">
        <v>374</v>
      </c>
      <c r="E89" s="46" t="s">
        <v>33</v>
      </c>
      <c r="F89" s="35">
        <v>20000</v>
      </c>
      <c r="G89" s="40">
        <v>20000</v>
      </c>
      <c r="H89" s="35">
        <v>0</v>
      </c>
      <c r="I89" s="35">
        <f t="shared" si="16"/>
        <v>20000</v>
      </c>
      <c r="J89" s="36">
        <f t="shared" si="17"/>
        <v>0</v>
      </c>
      <c r="K89" s="48" t="s">
        <v>37</v>
      </c>
      <c r="L89" s="48" t="s">
        <v>37</v>
      </c>
      <c r="M89" s="38">
        <v>41455</v>
      </c>
      <c r="N89" s="37"/>
      <c r="O89" s="41">
        <v>20000</v>
      </c>
      <c r="P89" s="41"/>
      <c r="Q89" s="41"/>
    </row>
    <row r="90" spans="1:17" s="15" customFormat="1" ht="26.25" customHeight="1" x14ac:dyDescent="0.2">
      <c r="A90" s="43" t="s">
        <v>329</v>
      </c>
      <c r="B90" s="46" t="s">
        <v>26</v>
      </c>
      <c r="C90" s="44" t="s">
        <v>29</v>
      </c>
      <c r="D90" s="47" t="s">
        <v>375</v>
      </c>
      <c r="E90" s="46" t="s">
        <v>33</v>
      </c>
      <c r="F90" s="35">
        <v>25000</v>
      </c>
      <c r="G90" s="40">
        <v>25000</v>
      </c>
      <c r="H90" s="35">
        <v>0</v>
      </c>
      <c r="I90" s="35">
        <f t="shared" si="16"/>
        <v>25000</v>
      </c>
      <c r="J90" s="36">
        <f t="shared" si="17"/>
        <v>0</v>
      </c>
      <c r="K90" s="48" t="s">
        <v>37</v>
      </c>
      <c r="L90" s="48" t="s">
        <v>37</v>
      </c>
      <c r="M90" s="38">
        <v>41455</v>
      </c>
      <c r="N90" s="37"/>
      <c r="O90" s="41">
        <v>25000</v>
      </c>
      <c r="P90" s="41"/>
      <c r="Q90" s="41"/>
    </row>
    <row r="91" spans="1:17" s="15" customFormat="1" ht="26.25" customHeight="1" x14ac:dyDescent="0.2">
      <c r="A91" s="43" t="s">
        <v>330</v>
      </c>
      <c r="B91" s="46" t="s">
        <v>26</v>
      </c>
      <c r="C91" s="44" t="s">
        <v>349</v>
      </c>
      <c r="D91" s="47" t="s">
        <v>376</v>
      </c>
      <c r="E91" s="46" t="s">
        <v>33</v>
      </c>
      <c r="F91" s="35">
        <v>20000</v>
      </c>
      <c r="G91" s="40">
        <v>20000</v>
      </c>
      <c r="H91" s="35">
        <v>0</v>
      </c>
      <c r="I91" s="35">
        <f t="shared" si="16"/>
        <v>20000</v>
      </c>
      <c r="J91" s="36">
        <f t="shared" si="17"/>
        <v>0</v>
      </c>
      <c r="K91" s="48" t="s">
        <v>37</v>
      </c>
      <c r="L91" s="48" t="s">
        <v>37</v>
      </c>
      <c r="M91" s="38">
        <v>41455</v>
      </c>
      <c r="N91" s="48"/>
      <c r="O91" s="41">
        <v>20000</v>
      </c>
      <c r="P91" s="41"/>
      <c r="Q91" s="41"/>
    </row>
    <row r="92" spans="1:17" s="15" customFormat="1" ht="26.25" customHeight="1" x14ac:dyDescent="0.2">
      <c r="A92" s="43" t="s">
        <v>331</v>
      </c>
      <c r="B92" s="46" t="s">
        <v>26</v>
      </c>
      <c r="C92" s="44" t="s">
        <v>30</v>
      </c>
      <c r="D92" s="47" t="s">
        <v>377</v>
      </c>
      <c r="E92" s="46" t="s">
        <v>33</v>
      </c>
      <c r="F92" s="35">
        <v>25000</v>
      </c>
      <c r="G92" s="40">
        <v>25000</v>
      </c>
      <c r="H92" s="35">
        <v>0</v>
      </c>
      <c r="I92" s="35">
        <f t="shared" si="16"/>
        <v>25000</v>
      </c>
      <c r="J92" s="36">
        <f t="shared" si="17"/>
        <v>0</v>
      </c>
      <c r="K92" s="48" t="s">
        <v>37</v>
      </c>
      <c r="L92" s="48" t="s">
        <v>37</v>
      </c>
      <c r="M92" s="38">
        <v>41455</v>
      </c>
      <c r="N92" s="37"/>
      <c r="O92" s="41">
        <v>25000</v>
      </c>
      <c r="P92" s="41"/>
      <c r="Q92" s="41"/>
    </row>
    <row r="93" spans="1:17" s="15" customFormat="1" ht="26.25" customHeight="1" x14ac:dyDescent="0.2">
      <c r="A93" s="43" t="s">
        <v>332</v>
      </c>
      <c r="B93" s="46" t="s">
        <v>26</v>
      </c>
      <c r="C93" s="44" t="s">
        <v>95</v>
      </c>
      <c r="D93" s="47" t="s">
        <v>378</v>
      </c>
      <c r="E93" s="46" t="s">
        <v>33</v>
      </c>
      <c r="F93" s="35">
        <v>20000</v>
      </c>
      <c r="G93" s="40">
        <v>20000</v>
      </c>
      <c r="H93" s="35">
        <v>0</v>
      </c>
      <c r="I93" s="35">
        <f t="shared" ref="I93:I103" si="18">G93+H93</f>
        <v>20000</v>
      </c>
      <c r="J93" s="36">
        <f t="shared" ref="J93:J103" si="19">IF(G93=0,100%,(I93-G93)/G93)</f>
        <v>0</v>
      </c>
      <c r="K93" s="48" t="s">
        <v>37</v>
      </c>
      <c r="L93" s="48" t="s">
        <v>37</v>
      </c>
      <c r="M93" s="38">
        <v>41455</v>
      </c>
      <c r="N93" s="37"/>
      <c r="O93" s="41">
        <v>20000</v>
      </c>
      <c r="P93" s="41"/>
      <c r="Q93" s="41"/>
    </row>
    <row r="94" spans="1:17" s="15" customFormat="1" ht="26.25" customHeight="1" x14ac:dyDescent="0.2">
      <c r="A94" s="43" t="s">
        <v>333</v>
      </c>
      <c r="B94" s="46" t="s">
        <v>26</v>
      </c>
      <c r="C94" s="44" t="s">
        <v>350</v>
      </c>
      <c r="D94" s="47" t="s">
        <v>379</v>
      </c>
      <c r="E94" s="46" t="s">
        <v>34</v>
      </c>
      <c r="F94" s="35">
        <v>20000</v>
      </c>
      <c r="G94" s="40">
        <v>20000</v>
      </c>
      <c r="H94" s="35">
        <v>0</v>
      </c>
      <c r="I94" s="35">
        <f t="shared" si="18"/>
        <v>20000</v>
      </c>
      <c r="J94" s="36">
        <f t="shared" si="19"/>
        <v>0</v>
      </c>
      <c r="K94" s="48" t="s">
        <v>37</v>
      </c>
      <c r="L94" s="48" t="s">
        <v>37</v>
      </c>
      <c r="M94" s="38">
        <v>41455</v>
      </c>
      <c r="N94" s="37"/>
      <c r="O94" s="41">
        <v>20000</v>
      </c>
      <c r="P94" s="41"/>
      <c r="Q94" s="41"/>
    </row>
    <row r="95" spans="1:17" s="15" customFormat="1" ht="38.25" customHeight="1" x14ac:dyDescent="0.2">
      <c r="A95" s="43" t="s">
        <v>334</v>
      </c>
      <c r="B95" s="46" t="s">
        <v>26</v>
      </c>
      <c r="C95" s="44" t="s">
        <v>351</v>
      </c>
      <c r="D95" s="47" t="s">
        <v>380</v>
      </c>
      <c r="E95" s="46" t="s">
        <v>385</v>
      </c>
      <c r="F95" s="35">
        <v>25000</v>
      </c>
      <c r="G95" s="40">
        <v>25000</v>
      </c>
      <c r="H95" s="35">
        <v>0</v>
      </c>
      <c r="I95" s="35">
        <f t="shared" si="18"/>
        <v>25000</v>
      </c>
      <c r="J95" s="36">
        <f t="shared" si="19"/>
        <v>0</v>
      </c>
      <c r="K95" s="48" t="s">
        <v>37</v>
      </c>
      <c r="L95" s="48" t="s">
        <v>37</v>
      </c>
      <c r="M95" s="38">
        <v>41455</v>
      </c>
      <c r="N95" s="37"/>
      <c r="O95" s="41">
        <v>25000</v>
      </c>
      <c r="P95" s="41"/>
      <c r="Q95" s="41"/>
    </row>
    <row r="96" spans="1:17" s="15" customFormat="1" ht="26.25" customHeight="1" x14ac:dyDescent="0.2">
      <c r="A96" s="43" t="s">
        <v>335</v>
      </c>
      <c r="B96" s="46" t="s">
        <v>26</v>
      </c>
      <c r="C96" s="44" t="s">
        <v>351</v>
      </c>
      <c r="D96" s="47" t="s">
        <v>381</v>
      </c>
      <c r="E96" s="46" t="s">
        <v>35</v>
      </c>
      <c r="F96" s="35">
        <v>20000</v>
      </c>
      <c r="G96" s="40">
        <v>20000</v>
      </c>
      <c r="H96" s="35">
        <v>0</v>
      </c>
      <c r="I96" s="35">
        <f t="shared" si="18"/>
        <v>20000</v>
      </c>
      <c r="J96" s="36">
        <f t="shared" si="19"/>
        <v>0</v>
      </c>
      <c r="K96" s="48" t="s">
        <v>37</v>
      </c>
      <c r="L96" s="48" t="s">
        <v>37</v>
      </c>
      <c r="M96" s="38">
        <v>41455</v>
      </c>
      <c r="N96" s="37"/>
      <c r="O96" s="41">
        <v>20000</v>
      </c>
      <c r="P96" s="41"/>
      <c r="Q96" s="41"/>
    </row>
    <row r="97" spans="1:17" s="15" customFormat="1" ht="26.25" customHeight="1" x14ac:dyDescent="0.2">
      <c r="A97" s="43" t="s">
        <v>336</v>
      </c>
      <c r="B97" s="46" t="s">
        <v>26</v>
      </c>
      <c r="C97" s="44" t="s">
        <v>31</v>
      </c>
      <c r="D97" s="47" t="s">
        <v>369</v>
      </c>
      <c r="E97" s="46" t="s">
        <v>33</v>
      </c>
      <c r="F97" s="35">
        <v>25000</v>
      </c>
      <c r="G97" s="40">
        <v>25000</v>
      </c>
      <c r="H97" s="35">
        <v>0</v>
      </c>
      <c r="I97" s="35">
        <f t="shared" si="18"/>
        <v>25000</v>
      </c>
      <c r="J97" s="36">
        <f t="shared" si="19"/>
        <v>0</v>
      </c>
      <c r="K97" s="48" t="s">
        <v>37</v>
      </c>
      <c r="L97" s="48" t="s">
        <v>37</v>
      </c>
      <c r="M97" s="38">
        <v>41455</v>
      </c>
      <c r="N97" s="37"/>
      <c r="O97" s="41">
        <v>25000</v>
      </c>
      <c r="P97" s="41"/>
      <c r="Q97" s="41"/>
    </row>
    <row r="98" spans="1:17" s="15" customFormat="1" ht="26.25" customHeight="1" x14ac:dyDescent="0.2">
      <c r="A98" s="43" t="s">
        <v>337</v>
      </c>
      <c r="B98" s="46" t="s">
        <v>26</v>
      </c>
      <c r="C98" s="44" t="s">
        <v>352</v>
      </c>
      <c r="D98" s="47" t="s">
        <v>370</v>
      </c>
      <c r="E98" s="46" t="s">
        <v>35</v>
      </c>
      <c r="F98" s="35">
        <v>20000</v>
      </c>
      <c r="G98" s="40">
        <v>20000</v>
      </c>
      <c r="H98" s="35">
        <v>0</v>
      </c>
      <c r="I98" s="35">
        <f t="shared" si="18"/>
        <v>20000</v>
      </c>
      <c r="J98" s="36">
        <f t="shared" si="19"/>
        <v>0</v>
      </c>
      <c r="K98" s="48" t="s">
        <v>37</v>
      </c>
      <c r="L98" s="48" t="s">
        <v>37</v>
      </c>
      <c r="M98" s="38">
        <v>41455</v>
      </c>
      <c r="N98" s="37"/>
      <c r="O98" s="41">
        <v>20000</v>
      </c>
      <c r="P98" s="41"/>
      <c r="Q98" s="41"/>
    </row>
    <row r="99" spans="1:17" s="15" customFormat="1" ht="38.25" customHeight="1" x14ac:dyDescent="0.2">
      <c r="A99" s="43" t="s">
        <v>338</v>
      </c>
      <c r="B99" s="46" t="s">
        <v>26</v>
      </c>
      <c r="C99" s="44" t="s">
        <v>353</v>
      </c>
      <c r="D99" s="47" t="s">
        <v>41</v>
      </c>
      <c r="E99" s="46" t="s">
        <v>386</v>
      </c>
      <c r="F99" s="35">
        <v>20000</v>
      </c>
      <c r="G99" s="40">
        <v>20000</v>
      </c>
      <c r="H99" s="35">
        <v>0</v>
      </c>
      <c r="I99" s="35">
        <f t="shared" si="18"/>
        <v>20000</v>
      </c>
      <c r="J99" s="36">
        <f t="shared" si="19"/>
        <v>0</v>
      </c>
      <c r="K99" s="48" t="s">
        <v>37</v>
      </c>
      <c r="L99" s="48" t="s">
        <v>37</v>
      </c>
      <c r="M99" s="38">
        <v>41455</v>
      </c>
      <c r="N99" s="37"/>
      <c r="O99" s="41">
        <v>20000</v>
      </c>
      <c r="P99" s="41"/>
      <c r="Q99" s="41"/>
    </row>
    <row r="100" spans="1:17" s="15" customFormat="1" ht="26.25" customHeight="1" x14ac:dyDescent="0.2">
      <c r="A100" s="43" t="s">
        <v>339</v>
      </c>
      <c r="B100" s="46" t="s">
        <v>26</v>
      </c>
      <c r="C100" s="44" t="s">
        <v>353</v>
      </c>
      <c r="D100" s="47" t="s">
        <v>371</v>
      </c>
      <c r="E100" s="46" t="s">
        <v>33</v>
      </c>
      <c r="F100" s="35">
        <v>30000</v>
      </c>
      <c r="G100" s="40">
        <v>30000</v>
      </c>
      <c r="H100" s="35">
        <v>0</v>
      </c>
      <c r="I100" s="35">
        <f t="shared" si="18"/>
        <v>30000</v>
      </c>
      <c r="J100" s="36">
        <f t="shared" si="19"/>
        <v>0</v>
      </c>
      <c r="K100" s="48" t="s">
        <v>37</v>
      </c>
      <c r="L100" s="48" t="s">
        <v>37</v>
      </c>
      <c r="M100" s="38">
        <v>41455</v>
      </c>
      <c r="N100" s="37"/>
      <c r="O100" s="41">
        <v>30000</v>
      </c>
      <c r="P100" s="41"/>
      <c r="Q100" s="41"/>
    </row>
    <row r="101" spans="1:17" s="15" customFormat="1" ht="26.25" customHeight="1" x14ac:dyDescent="0.2">
      <c r="A101" s="43" t="s">
        <v>340</v>
      </c>
      <c r="B101" s="46" t="s">
        <v>26</v>
      </c>
      <c r="C101" s="44" t="s">
        <v>354</v>
      </c>
      <c r="D101" s="47" t="s">
        <v>372</v>
      </c>
      <c r="E101" s="46" t="s">
        <v>33</v>
      </c>
      <c r="F101" s="35">
        <v>20000</v>
      </c>
      <c r="G101" s="40">
        <v>20000</v>
      </c>
      <c r="H101" s="35">
        <v>0</v>
      </c>
      <c r="I101" s="35">
        <f t="shared" si="18"/>
        <v>20000</v>
      </c>
      <c r="J101" s="36">
        <f t="shared" si="19"/>
        <v>0</v>
      </c>
      <c r="K101" s="48" t="s">
        <v>37</v>
      </c>
      <c r="L101" s="48" t="s">
        <v>37</v>
      </c>
      <c r="M101" s="38">
        <v>41455</v>
      </c>
      <c r="N101" s="37"/>
      <c r="O101" s="41">
        <v>20000</v>
      </c>
      <c r="P101" s="41"/>
      <c r="Q101" s="41"/>
    </row>
    <row r="102" spans="1:17" s="15" customFormat="1" ht="26.25" customHeight="1" x14ac:dyDescent="0.2">
      <c r="A102" s="43" t="s">
        <v>341</v>
      </c>
      <c r="B102" s="46" t="s">
        <v>26</v>
      </c>
      <c r="C102" s="44" t="s">
        <v>355</v>
      </c>
      <c r="D102" s="47" t="s">
        <v>373</v>
      </c>
      <c r="E102" s="46" t="s">
        <v>35</v>
      </c>
      <c r="F102" s="35">
        <v>20000</v>
      </c>
      <c r="G102" s="40">
        <v>20000</v>
      </c>
      <c r="H102" s="35">
        <v>0</v>
      </c>
      <c r="I102" s="35">
        <f t="shared" si="18"/>
        <v>20000</v>
      </c>
      <c r="J102" s="36">
        <f t="shared" si="19"/>
        <v>0</v>
      </c>
      <c r="K102" s="48" t="s">
        <v>37</v>
      </c>
      <c r="L102" s="48" t="s">
        <v>37</v>
      </c>
      <c r="M102" s="38">
        <v>41455</v>
      </c>
      <c r="N102" s="37"/>
      <c r="O102" s="41">
        <v>20000</v>
      </c>
      <c r="P102" s="41"/>
      <c r="Q102" s="41"/>
    </row>
    <row r="103" spans="1:17" s="15" customFormat="1" ht="18" customHeight="1" x14ac:dyDescent="0.2">
      <c r="A103" s="43" t="s">
        <v>387</v>
      </c>
      <c r="B103" s="46" t="s">
        <v>40</v>
      </c>
      <c r="C103" s="44" t="s">
        <v>54</v>
      </c>
      <c r="D103" s="34">
        <v>4141</v>
      </c>
      <c r="E103" s="46" t="s">
        <v>44</v>
      </c>
      <c r="F103" s="35">
        <f>15000*3</f>
        <v>45000</v>
      </c>
      <c r="G103" s="40">
        <f>15000*3</f>
        <v>45000</v>
      </c>
      <c r="H103" s="35">
        <v>0</v>
      </c>
      <c r="I103" s="35">
        <f t="shared" si="18"/>
        <v>45000</v>
      </c>
      <c r="J103" s="36">
        <f t="shared" si="19"/>
        <v>0</v>
      </c>
      <c r="K103" s="48" t="s">
        <v>37</v>
      </c>
      <c r="L103" s="48" t="s">
        <v>37</v>
      </c>
      <c r="M103" s="38">
        <v>41455</v>
      </c>
      <c r="N103" s="48" t="s">
        <v>64</v>
      </c>
      <c r="O103" s="41">
        <v>15000</v>
      </c>
      <c r="P103" s="41">
        <v>15000</v>
      </c>
      <c r="Q103" s="41">
        <v>15000</v>
      </c>
    </row>
    <row r="104" spans="1:17" s="15" customFormat="1" ht="26.25" customHeight="1" x14ac:dyDescent="0.2">
      <c r="A104" s="43" t="s">
        <v>388</v>
      </c>
      <c r="B104" s="46" t="s">
        <v>40</v>
      </c>
      <c r="C104" s="44" t="s">
        <v>55</v>
      </c>
      <c r="D104" s="34">
        <v>4135</v>
      </c>
      <c r="E104" s="46" t="s">
        <v>421</v>
      </c>
      <c r="F104" s="35">
        <f>20000*3</f>
        <v>60000</v>
      </c>
      <c r="G104" s="40">
        <f>20000*3</f>
        <v>60000</v>
      </c>
      <c r="H104" s="35">
        <v>0</v>
      </c>
      <c r="I104" s="35">
        <f t="shared" ref="I104:I116" si="20">G104+H104</f>
        <v>60000</v>
      </c>
      <c r="J104" s="36">
        <f t="shared" ref="J104:J116" si="21">IF(G104=0,100%,(I104-G104)/G104)</f>
        <v>0</v>
      </c>
      <c r="K104" s="48" t="s">
        <v>37</v>
      </c>
      <c r="L104" s="48" t="s">
        <v>37</v>
      </c>
      <c r="M104" s="38">
        <v>41455</v>
      </c>
      <c r="N104" s="48" t="s">
        <v>64</v>
      </c>
      <c r="O104" s="41">
        <v>20000</v>
      </c>
      <c r="P104" s="41">
        <v>20000</v>
      </c>
      <c r="Q104" s="41">
        <v>20000</v>
      </c>
    </row>
    <row r="105" spans="1:17" s="15" customFormat="1" ht="26.25" customHeight="1" x14ac:dyDescent="0.2">
      <c r="A105" s="43" t="s">
        <v>389</v>
      </c>
      <c r="B105" s="46" t="s">
        <v>39</v>
      </c>
      <c r="C105" s="44" t="s">
        <v>89</v>
      </c>
      <c r="D105" s="47" t="s">
        <v>418</v>
      </c>
      <c r="E105" s="46" t="s">
        <v>115</v>
      </c>
      <c r="F105" s="35">
        <v>25000</v>
      </c>
      <c r="G105" s="40">
        <v>16000</v>
      </c>
      <c r="H105" s="35">
        <f>20000+21500+25000</f>
        <v>66500</v>
      </c>
      <c r="I105" s="35">
        <f t="shared" si="20"/>
        <v>82500</v>
      </c>
      <c r="J105" s="36">
        <f t="shared" si="21"/>
        <v>4.15625</v>
      </c>
      <c r="K105" s="48" t="s">
        <v>37</v>
      </c>
      <c r="L105" s="48" t="s">
        <v>37</v>
      </c>
      <c r="M105" s="38">
        <v>41182</v>
      </c>
      <c r="N105" s="48" t="s">
        <v>36</v>
      </c>
      <c r="O105" s="41">
        <v>25000</v>
      </c>
      <c r="P105" s="41"/>
      <c r="Q105" s="41"/>
    </row>
    <row r="106" spans="1:17" s="15" customFormat="1" ht="26.25" customHeight="1" x14ac:dyDescent="0.2">
      <c r="A106" s="43" t="s">
        <v>390</v>
      </c>
      <c r="B106" s="46" t="s">
        <v>39</v>
      </c>
      <c r="C106" s="44" t="s">
        <v>100</v>
      </c>
      <c r="D106" s="47" t="s">
        <v>419</v>
      </c>
      <c r="E106" s="46" t="s">
        <v>101</v>
      </c>
      <c r="F106" s="35">
        <v>25600</v>
      </c>
      <c r="G106" s="40">
        <v>25000</v>
      </c>
      <c r="H106" s="35">
        <v>25600</v>
      </c>
      <c r="I106" s="35">
        <f t="shared" si="20"/>
        <v>50600</v>
      </c>
      <c r="J106" s="36">
        <f t="shared" si="21"/>
        <v>1.024</v>
      </c>
      <c r="K106" s="48" t="s">
        <v>37</v>
      </c>
      <c r="L106" s="48" t="s">
        <v>37</v>
      </c>
      <c r="M106" s="38">
        <v>41213</v>
      </c>
      <c r="N106" s="48" t="s">
        <v>36</v>
      </c>
      <c r="O106" s="41">
        <v>25600</v>
      </c>
      <c r="P106" s="41"/>
      <c r="Q106" s="41"/>
    </row>
    <row r="107" spans="1:17" s="15" customFormat="1" ht="26.25" customHeight="1" x14ac:dyDescent="0.2">
      <c r="A107" s="43" t="s">
        <v>391</v>
      </c>
      <c r="B107" s="46" t="s">
        <v>39</v>
      </c>
      <c r="C107" s="44" t="s">
        <v>406</v>
      </c>
      <c r="D107" s="34">
        <v>4302</v>
      </c>
      <c r="E107" s="46" t="s">
        <v>422</v>
      </c>
      <c r="F107" s="35">
        <f t="shared" ref="F107:G109" si="22">20000*3</f>
        <v>60000</v>
      </c>
      <c r="G107" s="40">
        <f t="shared" si="22"/>
        <v>60000</v>
      </c>
      <c r="H107" s="35">
        <v>0</v>
      </c>
      <c r="I107" s="35">
        <f t="shared" si="20"/>
        <v>60000</v>
      </c>
      <c r="J107" s="36">
        <f t="shared" si="21"/>
        <v>0</v>
      </c>
      <c r="K107" s="48" t="s">
        <v>37</v>
      </c>
      <c r="L107" s="48" t="s">
        <v>37</v>
      </c>
      <c r="M107" s="38">
        <v>41441</v>
      </c>
      <c r="N107" s="48" t="s">
        <v>64</v>
      </c>
      <c r="O107" s="41">
        <v>20000</v>
      </c>
      <c r="P107" s="41">
        <v>20000</v>
      </c>
      <c r="Q107" s="41">
        <v>20000</v>
      </c>
    </row>
    <row r="108" spans="1:17" s="15" customFormat="1" ht="26.25" customHeight="1" x14ac:dyDescent="0.2">
      <c r="A108" s="43" t="s">
        <v>392</v>
      </c>
      <c r="B108" s="46" t="s">
        <v>92</v>
      </c>
      <c r="C108" s="44" t="s">
        <v>407</v>
      </c>
      <c r="D108" s="34">
        <v>3936</v>
      </c>
      <c r="E108" s="46" t="s">
        <v>423</v>
      </c>
      <c r="F108" s="35">
        <f t="shared" si="22"/>
        <v>60000</v>
      </c>
      <c r="G108" s="40">
        <f t="shared" si="22"/>
        <v>60000</v>
      </c>
      <c r="H108" s="35">
        <v>0</v>
      </c>
      <c r="I108" s="35">
        <f t="shared" si="20"/>
        <v>60000</v>
      </c>
      <c r="J108" s="36">
        <f t="shared" si="21"/>
        <v>0</v>
      </c>
      <c r="K108" s="48" t="s">
        <v>37</v>
      </c>
      <c r="L108" s="48" t="s">
        <v>37</v>
      </c>
      <c r="M108" s="38">
        <v>41455</v>
      </c>
      <c r="N108" s="48" t="s">
        <v>64</v>
      </c>
      <c r="O108" s="41">
        <v>20000</v>
      </c>
      <c r="P108" s="41">
        <v>20000</v>
      </c>
      <c r="Q108" s="41">
        <v>20000</v>
      </c>
    </row>
    <row r="109" spans="1:17" s="15" customFormat="1" ht="26.25" customHeight="1" x14ac:dyDescent="0.2">
      <c r="A109" s="43" t="s">
        <v>393</v>
      </c>
      <c r="B109" s="46" t="s">
        <v>92</v>
      </c>
      <c r="C109" s="44" t="s">
        <v>408</v>
      </c>
      <c r="D109" s="34">
        <v>3950</v>
      </c>
      <c r="E109" s="46" t="s">
        <v>424</v>
      </c>
      <c r="F109" s="35">
        <f t="shared" si="22"/>
        <v>60000</v>
      </c>
      <c r="G109" s="40">
        <f t="shared" si="22"/>
        <v>60000</v>
      </c>
      <c r="H109" s="35">
        <v>0</v>
      </c>
      <c r="I109" s="35">
        <f t="shared" si="20"/>
        <v>60000</v>
      </c>
      <c r="J109" s="36">
        <f t="shared" si="21"/>
        <v>0</v>
      </c>
      <c r="K109" s="48" t="s">
        <v>37</v>
      </c>
      <c r="L109" s="48" t="s">
        <v>37</v>
      </c>
      <c r="M109" s="38">
        <v>41455</v>
      </c>
      <c r="N109" s="48" t="s">
        <v>64</v>
      </c>
      <c r="O109" s="41">
        <v>20000</v>
      </c>
      <c r="P109" s="41">
        <v>20000</v>
      </c>
      <c r="Q109" s="41">
        <v>20000</v>
      </c>
    </row>
    <row r="110" spans="1:17" s="15" customFormat="1" ht="26.25" customHeight="1" x14ac:dyDescent="0.2">
      <c r="A110" s="43" t="s">
        <v>394</v>
      </c>
      <c r="B110" s="46" t="s">
        <v>92</v>
      </c>
      <c r="C110" s="44" t="s">
        <v>409</v>
      </c>
      <c r="D110" s="34">
        <v>3951</v>
      </c>
      <c r="E110" s="46" t="s">
        <v>425</v>
      </c>
      <c r="F110" s="35">
        <f>40000*3</f>
        <v>120000</v>
      </c>
      <c r="G110" s="40">
        <f>40000*3</f>
        <v>120000</v>
      </c>
      <c r="H110" s="35">
        <v>0</v>
      </c>
      <c r="I110" s="35">
        <f t="shared" si="20"/>
        <v>120000</v>
      </c>
      <c r="J110" s="36">
        <f t="shared" si="21"/>
        <v>0</v>
      </c>
      <c r="K110" s="48" t="s">
        <v>37</v>
      </c>
      <c r="L110" s="48" t="s">
        <v>37</v>
      </c>
      <c r="M110" s="38">
        <v>41455</v>
      </c>
      <c r="N110" s="48" t="s">
        <v>64</v>
      </c>
      <c r="O110" s="41">
        <v>40000</v>
      </c>
      <c r="P110" s="41">
        <v>40000</v>
      </c>
      <c r="Q110" s="41">
        <v>40000</v>
      </c>
    </row>
    <row r="111" spans="1:17" s="15" customFormat="1" ht="26.25" customHeight="1" x14ac:dyDescent="0.2">
      <c r="A111" s="43" t="s">
        <v>395</v>
      </c>
      <c r="B111" s="46" t="s">
        <v>92</v>
      </c>
      <c r="C111" s="44" t="s">
        <v>410</v>
      </c>
      <c r="D111" s="34">
        <v>3974</v>
      </c>
      <c r="E111" s="46" t="s">
        <v>426</v>
      </c>
      <c r="F111" s="35">
        <f>25000*3</f>
        <v>75000</v>
      </c>
      <c r="G111" s="40">
        <f>25000*3</f>
        <v>75000</v>
      </c>
      <c r="H111" s="35">
        <v>0</v>
      </c>
      <c r="I111" s="35">
        <f t="shared" si="20"/>
        <v>75000</v>
      </c>
      <c r="J111" s="36">
        <f t="shared" si="21"/>
        <v>0</v>
      </c>
      <c r="K111" s="48" t="s">
        <v>37</v>
      </c>
      <c r="L111" s="48" t="s">
        <v>37</v>
      </c>
      <c r="M111" s="38">
        <v>41455</v>
      </c>
      <c r="N111" s="48" t="s">
        <v>64</v>
      </c>
      <c r="O111" s="41">
        <v>25000</v>
      </c>
      <c r="P111" s="41">
        <v>25000</v>
      </c>
      <c r="Q111" s="41">
        <v>25000</v>
      </c>
    </row>
    <row r="112" spans="1:17" s="15" customFormat="1" ht="38.25" customHeight="1" x14ac:dyDescent="0.2">
      <c r="A112" s="43" t="s">
        <v>396</v>
      </c>
      <c r="B112" s="46" t="s">
        <v>92</v>
      </c>
      <c r="C112" s="44" t="s">
        <v>411</v>
      </c>
      <c r="D112" s="34">
        <v>4285</v>
      </c>
      <c r="E112" s="46" t="s">
        <v>427</v>
      </c>
      <c r="F112" s="35">
        <f>14250*3</f>
        <v>42750</v>
      </c>
      <c r="G112" s="40">
        <f>14250*3</f>
        <v>42750</v>
      </c>
      <c r="H112" s="35">
        <v>0</v>
      </c>
      <c r="I112" s="35">
        <f t="shared" si="20"/>
        <v>42750</v>
      </c>
      <c r="J112" s="36">
        <f t="shared" si="21"/>
        <v>0</v>
      </c>
      <c r="K112" s="48" t="s">
        <v>37</v>
      </c>
      <c r="L112" s="48" t="s">
        <v>37</v>
      </c>
      <c r="M112" s="38">
        <v>41455</v>
      </c>
      <c r="N112" s="48" t="s">
        <v>64</v>
      </c>
      <c r="O112" s="41">
        <v>14250</v>
      </c>
      <c r="P112" s="41">
        <v>14250</v>
      </c>
      <c r="Q112" s="41">
        <v>14250</v>
      </c>
    </row>
    <row r="113" spans="1:18" s="15" customFormat="1" ht="18" customHeight="1" x14ac:dyDescent="0.2">
      <c r="A113" s="43" t="s">
        <v>397</v>
      </c>
      <c r="B113" s="46" t="s">
        <v>92</v>
      </c>
      <c r="C113" s="44" t="s">
        <v>412</v>
      </c>
      <c r="D113" s="34">
        <v>3954</v>
      </c>
      <c r="E113" s="46" t="s">
        <v>428</v>
      </c>
      <c r="F113" s="35">
        <f>20000*3</f>
        <v>60000</v>
      </c>
      <c r="G113" s="40">
        <f>20000*3</f>
        <v>60000</v>
      </c>
      <c r="H113" s="35">
        <v>0</v>
      </c>
      <c r="I113" s="35">
        <f t="shared" si="20"/>
        <v>60000</v>
      </c>
      <c r="J113" s="36">
        <f t="shared" si="21"/>
        <v>0</v>
      </c>
      <c r="K113" s="48" t="s">
        <v>37</v>
      </c>
      <c r="L113" s="48" t="s">
        <v>37</v>
      </c>
      <c r="M113" s="38">
        <v>41455</v>
      </c>
      <c r="N113" s="48" t="s">
        <v>64</v>
      </c>
      <c r="O113" s="41">
        <v>20000</v>
      </c>
      <c r="P113" s="41">
        <v>20000</v>
      </c>
      <c r="Q113" s="41">
        <v>20000</v>
      </c>
    </row>
    <row r="114" spans="1:18" s="15" customFormat="1" ht="26.25" customHeight="1" x14ac:dyDescent="0.2">
      <c r="A114" s="43" t="s">
        <v>398</v>
      </c>
      <c r="B114" s="46" t="s">
        <v>92</v>
      </c>
      <c r="C114" s="44" t="s">
        <v>413</v>
      </c>
      <c r="D114" s="34">
        <v>3965</v>
      </c>
      <c r="E114" s="46" t="s">
        <v>429</v>
      </c>
      <c r="F114" s="35">
        <f>6000*3</f>
        <v>18000</v>
      </c>
      <c r="G114" s="40">
        <f>6000*3</f>
        <v>18000</v>
      </c>
      <c r="H114" s="35">
        <v>0</v>
      </c>
      <c r="I114" s="35">
        <f t="shared" si="20"/>
        <v>18000</v>
      </c>
      <c r="J114" s="36">
        <f t="shared" si="21"/>
        <v>0</v>
      </c>
      <c r="K114" s="48" t="s">
        <v>37</v>
      </c>
      <c r="L114" s="48" t="s">
        <v>37</v>
      </c>
      <c r="M114" s="38">
        <v>41455</v>
      </c>
      <c r="N114" s="48" t="s">
        <v>64</v>
      </c>
      <c r="O114" s="41">
        <v>6000</v>
      </c>
      <c r="P114" s="41">
        <v>6000</v>
      </c>
      <c r="Q114" s="41">
        <v>6000</v>
      </c>
      <c r="R114" s="57"/>
    </row>
    <row r="115" spans="1:18" s="15" customFormat="1" ht="26.25" customHeight="1" x14ac:dyDescent="0.2">
      <c r="A115" s="43" t="s">
        <v>399</v>
      </c>
      <c r="B115" s="46" t="s">
        <v>92</v>
      </c>
      <c r="C115" s="44" t="s">
        <v>112</v>
      </c>
      <c r="D115" s="47" t="s">
        <v>420</v>
      </c>
      <c r="E115" s="46" t="s">
        <v>430</v>
      </c>
      <c r="F115" s="35">
        <v>10080</v>
      </c>
      <c r="G115" s="40">
        <v>10080</v>
      </c>
      <c r="H115" s="35">
        <v>10080</v>
      </c>
      <c r="I115" s="35">
        <f t="shared" si="20"/>
        <v>20160</v>
      </c>
      <c r="J115" s="36">
        <f t="shared" si="21"/>
        <v>1</v>
      </c>
      <c r="K115" s="48" t="s">
        <v>37</v>
      </c>
      <c r="L115" s="48" t="s">
        <v>37</v>
      </c>
      <c r="M115" s="38">
        <v>41455</v>
      </c>
      <c r="N115" s="48" t="s">
        <v>36</v>
      </c>
      <c r="O115" s="41">
        <v>10080</v>
      </c>
      <c r="P115" s="41"/>
      <c r="Q115" s="41"/>
    </row>
    <row r="116" spans="1:18" s="15" customFormat="1" ht="26.25" customHeight="1" x14ac:dyDescent="0.2">
      <c r="A116" s="43" t="s">
        <v>400</v>
      </c>
      <c r="B116" s="46" t="s">
        <v>92</v>
      </c>
      <c r="C116" s="44" t="s">
        <v>414</v>
      </c>
      <c r="D116" s="34">
        <v>4287</v>
      </c>
      <c r="E116" s="46" t="s">
        <v>431</v>
      </c>
      <c r="F116" s="35">
        <f>5379*2</f>
        <v>10758</v>
      </c>
      <c r="G116" s="40">
        <f>5379*2</f>
        <v>10758</v>
      </c>
      <c r="H116" s="35">
        <v>0</v>
      </c>
      <c r="I116" s="35">
        <f t="shared" si="20"/>
        <v>10758</v>
      </c>
      <c r="J116" s="36">
        <f t="shared" si="21"/>
        <v>0</v>
      </c>
      <c r="K116" s="48" t="s">
        <v>37</v>
      </c>
      <c r="L116" s="48" t="s">
        <v>37</v>
      </c>
      <c r="M116" s="38">
        <v>41455</v>
      </c>
      <c r="N116" s="48" t="s">
        <v>64</v>
      </c>
      <c r="O116" s="41">
        <v>5379</v>
      </c>
      <c r="P116" s="41">
        <v>5379</v>
      </c>
      <c r="Q116" s="41"/>
    </row>
    <row r="117" spans="1:18" s="15" customFormat="1" ht="26.25" customHeight="1" x14ac:dyDescent="0.2">
      <c r="A117" s="43" t="s">
        <v>401</v>
      </c>
      <c r="B117" s="46" t="s">
        <v>92</v>
      </c>
      <c r="C117" s="44" t="s">
        <v>415</v>
      </c>
      <c r="D117" s="34">
        <v>3934</v>
      </c>
      <c r="E117" s="46" t="s">
        <v>432</v>
      </c>
      <c r="F117" s="35">
        <f>25000*3</f>
        <v>75000</v>
      </c>
      <c r="G117" s="40">
        <f>25000*3</f>
        <v>75000</v>
      </c>
      <c r="H117" s="35">
        <v>0</v>
      </c>
      <c r="I117" s="35">
        <f t="shared" ref="I117:I126" si="23">G117+H117</f>
        <v>75000</v>
      </c>
      <c r="J117" s="36">
        <f t="shared" ref="J117:J126" si="24">IF(G117=0,100%,(I117-G117)/G117)</f>
        <v>0</v>
      </c>
      <c r="K117" s="48" t="s">
        <v>37</v>
      </c>
      <c r="L117" s="48" t="s">
        <v>37</v>
      </c>
      <c r="M117" s="38">
        <v>41455</v>
      </c>
      <c r="N117" s="48" t="s">
        <v>64</v>
      </c>
      <c r="O117" s="41">
        <v>25000</v>
      </c>
      <c r="P117" s="41">
        <v>25000</v>
      </c>
      <c r="Q117" s="41">
        <v>25000</v>
      </c>
    </row>
    <row r="118" spans="1:18" s="15" customFormat="1" ht="26.25" customHeight="1" x14ac:dyDescent="0.2">
      <c r="A118" s="43" t="s">
        <v>402</v>
      </c>
      <c r="B118" s="46" t="s">
        <v>46</v>
      </c>
      <c r="C118" s="44" t="s">
        <v>52</v>
      </c>
      <c r="D118" s="34">
        <v>4210</v>
      </c>
      <c r="E118" s="46" t="s">
        <v>433</v>
      </c>
      <c r="F118" s="35">
        <v>18487</v>
      </c>
      <c r="G118" s="40">
        <v>18487</v>
      </c>
      <c r="H118" s="35">
        <v>0</v>
      </c>
      <c r="I118" s="35">
        <f t="shared" si="23"/>
        <v>18487</v>
      </c>
      <c r="J118" s="36">
        <f t="shared" si="24"/>
        <v>0</v>
      </c>
      <c r="K118" s="48" t="s">
        <v>37</v>
      </c>
      <c r="L118" s="48" t="s">
        <v>42</v>
      </c>
      <c r="M118" s="38">
        <v>41182</v>
      </c>
      <c r="N118" s="37"/>
      <c r="O118" s="41">
        <v>18487</v>
      </c>
      <c r="P118" s="41"/>
      <c r="Q118" s="41"/>
    </row>
    <row r="119" spans="1:18" s="15" customFormat="1" ht="26.25" customHeight="1" x14ac:dyDescent="0.2">
      <c r="A119" s="43" t="s">
        <v>403</v>
      </c>
      <c r="B119" s="46" t="s">
        <v>49</v>
      </c>
      <c r="C119" s="44" t="s">
        <v>416</v>
      </c>
      <c r="D119" s="34">
        <v>4253</v>
      </c>
      <c r="E119" s="46" t="s">
        <v>434</v>
      </c>
      <c r="F119" s="35">
        <f>13500*3</f>
        <v>40500</v>
      </c>
      <c r="G119" s="40">
        <f>13500*3</f>
        <v>40500</v>
      </c>
      <c r="H119" s="35">
        <v>0</v>
      </c>
      <c r="I119" s="35">
        <f t="shared" si="23"/>
        <v>40500</v>
      </c>
      <c r="J119" s="36">
        <f t="shared" si="24"/>
        <v>0</v>
      </c>
      <c r="K119" s="48" t="s">
        <v>37</v>
      </c>
      <c r="L119" s="48" t="s">
        <v>37</v>
      </c>
      <c r="M119" s="38">
        <v>41455</v>
      </c>
      <c r="N119" s="48" t="s">
        <v>64</v>
      </c>
      <c r="O119" s="41">
        <v>13500</v>
      </c>
      <c r="P119" s="41">
        <v>13500</v>
      </c>
      <c r="Q119" s="41">
        <v>13500</v>
      </c>
    </row>
    <row r="120" spans="1:18" s="15" customFormat="1" ht="38.25" customHeight="1" x14ac:dyDescent="0.2">
      <c r="A120" s="43" t="s">
        <v>404</v>
      </c>
      <c r="B120" s="46" t="s">
        <v>18</v>
      </c>
      <c r="C120" s="44" t="s">
        <v>417</v>
      </c>
      <c r="D120" s="34">
        <v>3988</v>
      </c>
      <c r="E120" s="46" t="s">
        <v>435</v>
      </c>
      <c r="F120" s="35">
        <f>21000*3</f>
        <v>63000</v>
      </c>
      <c r="G120" s="40">
        <f>21000*3</f>
        <v>63000</v>
      </c>
      <c r="H120" s="35">
        <v>0</v>
      </c>
      <c r="I120" s="35">
        <f t="shared" si="23"/>
        <v>63000</v>
      </c>
      <c r="J120" s="36">
        <f t="shared" si="24"/>
        <v>0</v>
      </c>
      <c r="K120" s="48" t="s">
        <v>37</v>
      </c>
      <c r="L120" s="48" t="s">
        <v>37</v>
      </c>
      <c r="M120" s="38">
        <v>41455</v>
      </c>
      <c r="N120" s="48" t="s">
        <v>64</v>
      </c>
      <c r="O120" s="41">
        <v>21000</v>
      </c>
      <c r="P120" s="41">
        <v>21000</v>
      </c>
      <c r="Q120" s="41">
        <v>21000</v>
      </c>
    </row>
    <row r="121" spans="1:18" s="15" customFormat="1" ht="38.25" customHeight="1" x14ac:dyDescent="0.2">
      <c r="A121" s="43" t="s">
        <v>405</v>
      </c>
      <c r="B121" s="46" t="s">
        <v>26</v>
      </c>
      <c r="C121" s="44" t="s">
        <v>25</v>
      </c>
      <c r="D121" s="47" t="s">
        <v>358</v>
      </c>
      <c r="E121" s="46" t="s">
        <v>436</v>
      </c>
      <c r="F121" s="35">
        <v>15000</v>
      </c>
      <c r="G121" s="40">
        <v>15000</v>
      </c>
      <c r="H121" s="35">
        <v>0</v>
      </c>
      <c r="I121" s="35">
        <f t="shared" si="23"/>
        <v>15000</v>
      </c>
      <c r="J121" s="36">
        <f t="shared" si="24"/>
        <v>0</v>
      </c>
      <c r="K121" s="48" t="s">
        <v>37</v>
      </c>
      <c r="L121" s="48" t="s">
        <v>37</v>
      </c>
      <c r="M121" s="38">
        <v>41455</v>
      </c>
      <c r="N121" s="48"/>
      <c r="O121" s="41">
        <v>15000</v>
      </c>
      <c r="P121" s="41"/>
      <c r="Q121" s="41"/>
    </row>
    <row r="122" spans="1:18" s="15" customFormat="1" ht="26.25" customHeight="1" x14ac:dyDescent="0.2">
      <c r="A122" s="43" t="s">
        <v>437</v>
      </c>
      <c r="B122" s="46" t="s">
        <v>40</v>
      </c>
      <c r="C122" s="44" t="s">
        <v>453</v>
      </c>
      <c r="D122" s="47">
        <v>4388</v>
      </c>
      <c r="E122" s="46" t="s">
        <v>463</v>
      </c>
      <c r="F122" s="35">
        <v>10750</v>
      </c>
      <c r="G122" s="40">
        <v>10750</v>
      </c>
      <c r="H122" s="35">
        <v>0</v>
      </c>
      <c r="I122" s="35">
        <f t="shared" si="23"/>
        <v>10750</v>
      </c>
      <c r="J122" s="36">
        <f t="shared" si="24"/>
        <v>0</v>
      </c>
      <c r="K122" s="48" t="s">
        <v>37</v>
      </c>
      <c r="L122" s="48" t="s">
        <v>37</v>
      </c>
      <c r="M122" s="38">
        <v>41090</v>
      </c>
      <c r="N122" s="48"/>
      <c r="O122" s="41">
        <v>10750</v>
      </c>
      <c r="P122" s="41"/>
      <c r="Q122" s="41"/>
    </row>
    <row r="123" spans="1:18" s="15" customFormat="1" ht="26.25" customHeight="1" x14ac:dyDescent="0.2">
      <c r="A123" s="43" t="s">
        <v>438</v>
      </c>
      <c r="B123" s="46" t="s">
        <v>40</v>
      </c>
      <c r="C123" s="44" t="s">
        <v>87</v>
      </c>
      <c r="D123" s="47">
        <v>4384</v>
      </c>
      <c r="E123" s="46" t="s">
        <v>464</v>
      </c>
      <c r="F123" s="35">
        <v>12500</v>
      </c>
      <c r="G123" s="40">
        <v>12500</v>
      </c>
      <c r="H123" s="35">
        <v>0</v>
      </c>
      <c r="I123" s="35">
        <f t="shared" si="23"/>
        <v>12500</v>
      </c>
      <c r="J123" s="36">
        <f t="shared" si="24"/>
        <v>0</v>
      </c>
      <c r="K123" s="48" t="s">
        <v>37</v>
      </c>
      <c r="L123" s="48" t="s">
        <v>37</v>
      </c>
      <c r="M123" s="38">
        <v>41274</v>
      </c>
      <c r="N123" s="48"/>
      <c r="O123" s="41">
        <v>12500</v>
      </c>
      <c r="P123" s="41"/>
      <c r="Q123" s="41"/>
    </row>
    <row r="124" spans="1:18" s="15" customFormat="1" ht="26.25" customHeight="1" x14ac:dyDescent="0.2">
      <c r="A124" s="43" t="s">
        <v>439</v>
      </c>
      <c r="B124" s="46" t="s">
        <v>39</v>
      </c>
      <c r="C124" s="44" t="s">
        <v>454</v>
      </c>
      <c r="D124" s="47">
        <v>4381</v>
      </c>
      <c r="E124" s="46" t="s">
        <v>465</v>
      </c>
      <c r="F124" s="35">
        <f>26462*3</f>
        <v>79386</v>
      </c>
      <c r="G124" s="40">
        <f>26462*3</f>
        <v>79386</v>
      </c>
      <c r="H124" s="35">
        <v>0</v>
      </c>
      <c r="I124" s="35">
        <f t="shared" si="23"/>
        <v>79386</v>
      </c>
      <c r="J124" s="36">
        <f t="shared" si="24"/>
        <v>0</v>
      </c>
      <c r="K124" s="48" t="s">
        <v>37</v>
      </c>
      <c r="L124" s="48" t="s">
        <v>37</v>
      </c>
      <c r="M124" s="38">
        <v>41486</v>
      </c>
      <c r="N124" s="48" t="s">
        <v>64</v>
      </c>
      <c r="O124" s="41">
        <v>26462</v>
      </c>
      <c r="P124" s="41">
        <v>26462</v>
      </c>
      <c r="Q124" s="41">
        <v>26462</v>
      </c>
    </row>
    <row r="125" spans="1:18" s="15" customFormat="1" ht="26.25" customHeight="1" x14ac:dyDescent="0.2">
      <c r="A125" s="43" t="s">
        <v>440</v>
      </c>
      <c r="B125" s="46" t="s">
        <v>17</v>
      </c>
      <c r="C125" s="44" t="s">
        <v>38</v>
      </c>
      <c r="D125" s="47">
        <v>4363</v>
      </c>
      <c r="E125" s="46" t="s">
        <v>466</v>
      </c>
      <c r="F125" s="35">
        <v>20000</v>
      </c>
      <c r="G125" s="40">
        <v>20000</v>
      </c>
      <c r="H125" s="35">
        <v>0</v>
      </c>
      <c r="I125" s="35">
        <f t="shared" si="23"/>
        <v>20000</v>
      </c>
      <c r="J125" s="36">
        <f t="shared" si="24"/>
        <v>0</v>
      </c>
      <c r="K125" s="48" t="s">
        <v>37</v>
      </c>
      <c r="L125" s="48" t="s">
        <v>37</v>
      </c>
      <c r="M125" s="38">
        <v>41182</v>
      </c>
      <c r="N125" s="48"/>
      <c r="O125" s="41">
        <v>20000</v>
      </c>
      <c r="P125" s="41"/>
      <c r="Q125" s="41"/>
    </row>
    <row r="126" spans="1:18" s="15" customFormat="1" ht="26.25" customHeight="1" x14ac:dyDescent="0.2">
      <c r="A126" s="43" t="s">
        <v>441</v>
      </c>
      <c r="B126" s="46" t="s">
        <v>452</v>
      </c>
      <c r="C126" s="44" t="s">
        <v>455</v>
      </c>
      <c r="D126" s="47">
        <v>4343</v>
      </c>
      <c r="E126" s="46" t="s">
        <v>467</v>
      </c>
      <c r="F126" s="35">
        <v>7309</v>
      </c>
      <c r="G126" s="40">
        <v>7309</v>
      </c>
      <c r="H126" s="35">
        <v>0</v>
      </c>
      <c r="I126" s="35">
        <f t="shared" si="23"/>
        <v>7309</v>
      </c>
      <c r="J126" s="36">
        <f t="shared" si="24"/>
        <v>0</v>
      </c>
      <c r="K126" s="48" t="s">
        <v>37</v>
      </c>
      <c r="L126" s="48" t="s">
        <v>37</v>
      </c>
      <c r="M126" s="38">
        <v>41152</v>
      </c>
      <c r="N126" s="48"/>
      <c r="O126" s="41">
        <v>7309</v>
      </c>
      <c r="P126" s="41"/>
      <c r="Q126" s="41"/>
    </row>
    <row r="127" spans="1:18" s="15" customFormat="1" ht="26.25" customHeight="1" x14ac:dyDescent="0.2">
      <c r="A127" s="43" t="s">
        <v>442</v>
      </c>
      <c r="B127" s="46" t="s">
        <v>20</v>
      </c>
      <c r="C127" s="44" t="s">
        <v>456</v>
      </c>
      <c r="D127" s="47">
        <v>4325</v>
      </c>
      <c r="E127" s="46" t="s">
        <v>468</v>
      </c>
      <c r="F127" s="35">
        <f>12290*3</f>
        <v>36870</v>
      </c>
      <c r="G127" s="40">
        <f>12290*3</f>
        <v>36870</v>
      </c>
      <c r="H127" s="35">
        <v>0</v>
      </c>
      <c r="I127" s="35">
        <f t="shared" ref="I127:I136" si="25">G127+H127</f>
        <v>36870</v>
      </c>
      <c r="J127" s="36">
        <f t="shared" ref="J127:J136" si="26">IF(G127=0,100%,(I127-G127)/G127)</f>
        <v>0</v>
      </c>
      <c r="K127" s="48" t="s">
        <v>37</v>
      </c>
      <c r="L127" s="48" t="s">
        <v>37</v>
      </c>
      <c r="M127" s="38">
        <v>41455</v>
      </c>
      <c r="N127" s="48" t="s">
        <v>64</v>
      </c>
      <c r="O127" s="41">
        <v>12290</v>
      </c>
      <c r="P127" s="41">
        <v>12290</v>
      </c>
      <c r="Q127" s="41">
        <v>12290</v>
      </c>
    </row>
    <row r="128" spans="1:18" s="15" customFormat="1" ht="18" customHeight="1" x14ac:dyDescent="0.2">
      <c r="A128" s="43" t="s">
        <v>443</v>
      </c>
      <c r="B128" s="46" t="s">
        <v>39</v>
      </c>
      <c r="C128" s="44" t="s">
        <v>91</v>
      </c>
      <c r="D128" s="47">
        <v>4318</v>
      </c>
      <c r="E128" s="46" t="s">
        <v>469</v>
      </c>
      <c r="F128" s="35">
        <f>13970+14500+15000</f>
        <v>43470</v>
      </c>
      <c r="G128" s="40">
        <f>13970+14500+15000</f>
        <v>43470</v>
      </c>
      <c r="H128" s="35">
        <v>0</v>
      </c>
      <c r="I128" s="35">
        <f t="shared" si="25"/>
        <v>43470</v>
      </c>
      <c r="J128" s="36">
        <f t="shared" si="26"/>
        <v>0</v>
      </c>
      <c r="K128" s="48" t="s">
        <v>37</v>
      </c>
      <c r="L128" s="48" t="s">
        <v>37</v>
      </c>
      <c r="M128" s="38">
        <v>41425</v>
      </c>
      <c r="N128" s="48" t="s">
        <v>64</v>
      </c>
      <c r="O128" s="41">
        <v>13970</v>
      </c>
      <c r="P128" s="41">
        <v>14500</v>
      </c>
      <c r="Q128" s="41">
        <v>15000</v>
      </c>
    </row>
    <row r="129" spans="1:17" s="15" customFormat="1" ht="26.25" customHeight="1" x14ac:dyDescent="0.2">
      <c r="A129" s="43" t="s">
        <v>444</v>
      </c>
      <c r="B129" s="46" t="s">
        <v>17</v>
      </c>
      <c r="C129" s="44" t="s">
        <v>457</v>
      </c>
      <c r="D129" s="47">
        <v>4312</v>
      </c>
      <c r="E129" s="46" t="s">
        <v>470</v>
      </c>
      <c r="F129" s="35">
        <f>10680*3</f>
        <v>32040</v>
      </c>
      <c r="G129" s="40">
        <f>10680*2</f>
        <v>21360</v>
      </c>
      <c r="H129" s="35">
        <v>0</v>
      </c>
      <c r="I129" s="35">
        <f t="shared" si="25"/>
        <v>21360</v>
      </c>
      <c r="J129" s="36">
        <f t="shared" si="26"/>
        <v>0</v>
      </c>
      <c r="K129" s="48" t="s">
        <v>37</v>
      </c>
      <c r="L129" s="48" t="s">
        <v>37</v>
      </c>
      <c r="M129" s="38">
        <v>41455</v>
      </c>
      <c r="N129" s="48" t="s">
        <v>64</v>
      </c>
      <c r="O129" s="41">
        <v>10680</v>
      </c>
      <c r="P129" s="41">
        <v>10680</v>
      </c>
      <c r="Q129" s="41">
        <v>10680</v>
      </c>
    </row>
    <row r="130" spans="1:17" s="15" customFormat="1" ht="18" customHeight="1" x14ac:dyDescent="0.2">
      <c r="A130" s="43" t="s">
        <v>445</v>
      </c>
      <c r="B130" s="46" t="s">
        <v>17</v>
      </c>
      <c r="C130" s="44" t="s">
        <v>116</v>
      </c>
      <c r="D130" s="47">
        <v>4311</v>
      </c>
      <c r="E130" s="46" t="s">
        <v>471</v>
      </c>
      <c r="F130" s="35">
        <f>40000*3</f>
        <v>120000</v>
      </c>
      <c r="G130" s="40">
        <f>40000*3</f>
        <v>120000</v>
      </c>
      <c r="H130" s="35">
        <v>0</v>
      </c>
      <c r="I130" s="35">
        <f t="shared" si="25"/>
        <v>120000</v>
      </c>
      <c r="J130" s="36">
        <f t="shared" si="26"/>
        <v>0</v>
      </c>
      <c r="K130" s="48" t="s">
        <v>37</v>
      </c>
      <c r="L130" s="48" t="s">
        <v>37</v>
      </c>
      <c r="M130" s="38">
        <v>41455</v>
      </c>
      <c r="N130" s="48" t="s">
        <v>64</v>
      </c>
      <c r="O130" s="41">
        <v>40000</v>
      </c>
      <c r="P130" s="41">
        <v>40000</v>
      </c>
      <c r="Q130" s="41">
        <v>40000</v>
      </c>
    </row>
    <row r="131" spans="1:17" s="15" customFormat="1" ht="18" customHeight="1" x14ac:dyDescent="0.2">
      <c r="A131" s="43" t="s">
        <v>446</v>
      </c>
      <c r="B131" s="46" t="s">
        <v>50</v>
      </c>
      <c r="C131" s="44" t="s">
        <v>458</v>
      </c>
      <c r="D131" s="47">
        <v>4308</v>
      </c>
      <c r="E131" s="46" t="s">
        <v>472</v>
      </c>
      <c r="F131" s="35">
        <v>9000</v>
      </c>
      <c r="G131" s="40">
        <v>9000</v>
      </c>
      <c r="H131" s="35">
        <v>0</v>
      </c>
      <c r="I131" s="35">
        <f t="shared" si="25"/>
        <v>9000</v>
      </c>
      <c r="J131" s="36">
        <f t="shared" si="26"/>
        <v>0</v>
      </c>
      <c r="K131" s="48" t="s">
        <v>37</v>
      </c>
      <c r="L131" s="48" t="s">
        <v>37</v>
      </c>
      <c r="M131" s="38">
        <v>41274</v>
      </c>
      <c r="N131" s="48"/>
      <c r="O131" s="41">
        <v>9000</v>
      </c>
      <c r="P131" s="41"/>
      <c r="Q131" s="41"/>
    </row>
    <row r="132" spans="1:17" s="15" customFormat="1" ht="26.25" customHeight="1" x14ac:dyDescent="0.2">
      <c r="A132" s="43" t="s">
        <v>447</v>
      </c>
      <c r="B132" s="46" t="s">
        <v>39</v>
      </c>
      <c r="C132" s="44" t="s">
        <v>459</v>
      </c>
      <c r="D132" s="47">
        <v>4307</v>
      </c>
      <c r="E132" s="46" t="s">
        <v>473</v>
      </c>
      <c r="F132" s="35">
        <f>30000*3</f>
        <v>90000</v>
      </c>
      <c r="G132" s="40">
        <f>30000*3</f>
        <v>90000</v>
      </c>
      <c r="H132" s="35">
        <v>0</v>
      </c>
      <c r="I132" s="35">
        <f t="shared" si="25"/>
        <v>90000</v>
      </c>
      <c r="J132" s="36">
        <f t="shared" si="26"/>
        <v>0</v>
      </c>
      <c r="K132" s="48" t="s">
        <v>37</v>
      </c>
      <c r="L132" s="48" t="s">
        <v>37</v>
      </c>
      <c r="M132" s="38">
        <v>41425</v>
      </c>
      <c r="N132" s="48" t="s">
        <v>64</v>
      </c>
      <c r="O132" s="41">
        <v>30000</v>
      </c>
      <c r="P132" s="41">
        <v>30000</v>
      </c>
      <c r="Q132" s="41">
        <v>30000</v>
      </c>
    </row>
    <row r="133" spans="1:17" s="15" customFormat="1" ht="26.25" customHeight="1" x14ac:dyDescent="0.2">
      <c r="A133" s="43" t="s">
        <v>448</v>
      </c>
      <c r="B133" s="46" t="s">
        <v>48</v>
      </c>
      <c r="C133" s="44" t="s">
        <v>460</v>
      </c>
      <c r="D133" s="47">
        <v>4297</v>
      </c>
      <c r="E133" s="46" t="s">
        <v>474</v>
      </c>
      <c r="F133" s="35">
        <f>24000*3</f>
        <v>72000</v>
      </c>
      <c r="G133" s="40">
        <f>24000*3</f>
        <v>72000</v>
      </c>
      <c r="H133" s="35">
        <v>0</v>
      </c>
      <c r="I133" s="35">
        <f t="shared" si="25"/>
        <v>72000</v>
      </c>
      <c r="J133" s="36">
        <f t="shared" si="26"/>
        <v>0</v>
      </c>
      <c r="K133" s="48" t="s">
        <v>37</v>
      </c>
      <c r="L133" s="48" t="s">
        <v>37</v>
      </c>
      <c r="M133" s="38">
        <v>41455</v>
      </c>
      <c r="N133" s="48" t="s">
        <v>64</v>
      </c>
      <c r="O133" s="41">
        <v>24000</v>
      </c>
      <c r="P133" s="41">
        <v>24000</v>
      </c>
      <c r="Q133" s="41">
        <v>24000</v>
      </c>
    </row>
    <row r="134" spans="1:17" s="15" customFormat="1" ht="26.25" customHeight="1" x14ac:dyDescent="0.2">
      <c r="A134" s="43" t="s">
        <v>449</v>
      </c>
      <c r="B134" s="46" t="s">
        <v>17</v>
      </c>
      <c r="C134" s="44" t="s">
        <v>461</v>
      </c>
      <c r="D134" s="47">
        <v>4284</v>
      </c>
      <c r="E134" s="46" t="s">
        <v>475</v>
      </c>
      <c r="F134" s="35">
        <f>7350*3</f>
        <v>22050</v>
      </c>
      <c r="G134" s="40">
        <f>7350*3</f>
        <v>22050</v>
      </c>
      <c r="H134" s="35">
        <v>0</v>
      </c>
      <c r="I134" s="35">
        <f t="shared" si="25"/>
        <v>22050</v>
      </c>
      <c r="J134" s="36">
        <f t="shared" si="26"/>
        <v>0</v>
      </c>
      <c r="K134" s="48" t="s">
        <v>37</v>
      </c>
      <c r="L134" s="48" t="s">
        <v>37</v>
      </c>
      <c r="M134" s="38">
        <v>41455</v>
      </c>
      <c r="N134" s="48" t="s">
        <v>64</v>
      </c>
      <c r="O134" s="41">
        <v>7350</v>
      </c>
      <c r="P134" s="41">
        <v>7350</v>
      </c>
      <c r="Q134" s="41">
        <v>7350</v>
      </c>
    </row>
    <row r="135" spans="1:17" s="15" customFormat="1" ht="26.25" customHeight="1" x14ac:dyDescent="0.2">
      <c r="A135" s="43" t="s">
        <v>450</v>
      </c>
      <c r="B135" s="46" t="s">
        <v>17</v>
      </c>
      <c r="C135" s="44" t="s">
        <v>462</v>
      </c>
      <c r="D135" s="47">
        <v>3933</v>
      </c>
      <c r="E135" s="46" t="s">
        <v>476</v>
      </c>
      <c r="F135" s="35">
        <f>10000*3</f>
        <v>30000</v>
      </c>
      <c r="G135" s="40">
        <f>10000*3</f>
        <v>30000</v>
      </c>
      <c r="H135" s="35">
        <v>0</v>
      </c>
      <c r="I135" s="35">
        <f t="shared" si="25"/>
        <v>30000</v>
      </c>
      <c r="J135" s="36">
        <f t="shared" si="26"/>
        <v>0</v>
      </c>
      <c r="K135" s="48" t="s">
        <v>37</v>
      </c>
      <c r="L135" s="48" t="s">
        <v>37</v>
      </c>
      <c r="M135" s="38">
        <v>41455</v>
      </c>
      <c r="N135" s="48" t="s">
        <v>64</v>
      </c>
      <c r="O135" s="41">
        <v>10000</v>
      </c>
      <c r="P135" s="41">
        <v>10000</v>
      </c>
      <c r="Q135" s="41">
        <v>10000</v>
      </c>
    </row>
    <row r="136" spans="1:17" s="15" customFormat="1" ht="26.25" customHeight="1" x14ac:dyDescent="0.2">
      <c r="A136" s="43" t="s">
        <v>451</v>
      </c>
      <c r="B136" s="46" t="s">
        <v>21</v>
      </c>
      <c r="C136" s="44" t="s">
        <v>107</v>
      </c>
      <c r="D136" s="47">
        <v>4160</v>
      </c>
      <c r="E136" s="46" t="s">
        <v>477</v>
      </c>
      <c r="F136" s="35">
        <v>34500</v>
      </c>
      <c r="G136" s="40">
        <v>72000</v>
      </c>
      <c r="H136" s="35">
        <f>27500+34500</f>
        <v>62000</v>
      </c>
      <c r="I136" s="35">
        <f t="shared" si="25"/>
        <v>134000</v>
      </c>
      <c r="J136" s="36">
        <f t="shared" si="26"/>
        <v>0.86111111111111116</v>
      </c>
      <c r="K136" s="48" t="s">
        <v>37</v>
      </c>
      <c r="L136" s="48" t="s">
        <v>37</v>
      </c>
      <c r="M136" s="38">
        <v>41274</v>
      </c>
      <c r="N136" s="48" t="s">
        <v>36</v>
      </c>
      <c r="O136" s="41">
        <v>34500</v>
      </c>
      <c r="P136" s="41"/>
      <c r="Q136" s="41"/>
    </row>
    <row r="137" spans="1:17" s="15" customFormat="1" ht="18" customHeight="1" x14ac:dyDescent="0.2">
      <c r="A137" s="43" t="s">
        <v>478</v>
      </c>
      <c r="B137" s="46" t="s">
        <v>39</v>
      </c>
      <c r="C137" s="44" t="s">
        <v>84</v>
      </c>
      <c r="D137" s="47">
        <v>4377</v>
      </c>
      <c r="E137" s="46" t="s">
        <v>504</v>
      </c>
      <c r="F137" s="35">
        <f>15000*3</f>
        <v>45000</v>
      </c>
      <c r="G137" s="40">
        <f>15000*3</f>
        <v>45000</v>
      </c>
      <c r="H137" s="35">
        <v>0</v>
      </c>
      <c r="I137" s="35">
        <f t="shared" ref="I137:I153" si="27">G137+H137</f>
        <v>45000</v>
      </c>
      <c r="J137" s="36">
        <f t="shared" ref="J137:J153" si="28">IF(G137=0,100%,(I137-G137)/G137)</f>
        <v>0</v>
      </c>
      <c r="K137" s="48" t="s">
        <v>37</v>
      </c>
      <c r="L137" s="48" t="s">
        <v>37</v>
      </c>
      <c r="M137" s="38">
        <v>41455</v>
      </c>
      <c r="N137" s="48" t="s">
        <v>64</v>
      </c>
      <c r="O137" s="41">
        <v>15000</v>
      </c>
      <c r="P137" s="41">
        <v>15000</v>
      </c>
      <c r="Q137" s="41">
        <v>15000</v>
      </c>
    </row>
    <row r="138" spans="1:17" s="15" customFormat="1" ht="18" customHeight="1" x14ac:dyDescent="0.2">
      <c r="A138" s="43" t="s">
        <v>479</v>
      </c>
      <c r="B138" s="46" t="s">
        <v>39</v>
      </c>
      <c r="C138" s="44" t="s">
        <v>494</v>
      </c>
      <c r="D138" s="47">
        <v>4391</v>
      </c>
      <c r="E138" s="46" t="s">
        <v>505</v>
      </c>
      <c r="F138" s="35">
        <f>14696*3</f>
        <v>44088</v>
      </c>
      <c r="G138" s="40">
        <f>14696*3</f>
        <v>44088</v>
      </c>
      <c r="H138" s="35">
        <v>0</v>
      </c>
      <c r="I138" s="35">
        <f t="shared" si="27"/>
        <v>44088</v>
      </c>
      <c r="J138" s="36">
        <f t="shared" si="28"/>
        <v>0</v>
      </c>
      <c r="K138" s="48" t="s">
        <v>37</v>
      </c>
      <c r="L138" s="48" t="s">
        <v>37</v>
      </c>
      <c r="M138" s="38">
        <v>41517</v>
      </c>
      <c r="N138" s="48" t="s">
        <v>64</v>
      </c>
      <c r="O138" s="41">
        <v>14696</v>
      </c>
      <c r="P138" s="41">
        <v>14696</v>
      </c>
      <c r="Q138" s="41">
        <v>14696</v>
      </c>
    </row>
    <row r="139" spans="1:17" s="15" customFormat="1" ht="26.25" customHeight="1" x14ac:dyDescent="0.2">
      <c r="A139" s="43" t="s">
        <v>480</v>
      </c>
      <c r="B139" s="46" t="s">
        <v>40</v>
      </c>
      <c r="C139" s="44" t="s">
        <v>495</v>
      </c>
      <c r="D139" s="47">
        <v>4393</v>
      </c>
      <c r="E139" s="46" t="s">
        <v>506</v>
      </c>
      <c r="F139" s="35">
        <f>33000*3</f>
        <v>99000</v>
      </c>
      <c r="G139" s="40">
        <f>33000*3</f>
        <v>99000</v>
      </c>
      <c r="H139" s="35">
        <v>0</v>
      </c>
      <c r="I139" s="35">
        <f t="shared" si="27"/>
        <v>99000</v>
      </c>
      <c r="J139" s="36">
        <f t="shared" si="28"/>
        <v>0</v>
      </c>
      <c r="K139" s="48" t="s">
        <v>37</v>
      </c>
      <c r="L139" s="48" t="s">
        <v>37</v>
      </c>
      <c r="M139" s="38">
        <v>41455</v>
      </c>
      <c r="N139" s="48" t="s">
        <v>64</v>
      </c>
      <c r="O139" s="41">
        <v>33000</v>
      </c>
      <c r="P139" s="41">
        <v>33000</v>
      </c>
      <c r="Q139" s="41">
        <v>33000</v>
      </c>
    </row>
    <row r="140" spans="1:17" s="15" customFormat="1" ht="26.25" customHeight="1" x14ac:dyDescent="0.2">
      <c r="A140" s="43" t="s">
        <v>481</v>
      </c>
      <c r="B140" s="46" t="s">
        <v>46</v>
      </c>
      <c r="C140" s="44" t="s">
        <v>1000</v>
      </c>
      <c r="D140" s="47">
        <v>4401</v>
      </c>
      <c r="E140" s="46" t="s">
        <v>507</v>
      </c>
      <c r="F140" s="35">
        <f>40000*3</f>
        <v>120000</v>
      </c>
      <c r="G140" s="40">
        <f>40000*3</f>
        <v>120000</v>
      </c>
      <c r="H140" s="35">
        <v>0</v>
      </c>
      <c r="I140" s="35">
        <f t="shared" si="27"/>
        <v>120000</v>
      </c>
      <c r="J140" s="36">
        <f t="shared" si="28"/>
        <v>0</v>
      </c>
      <c r="K140" s="48" t="s">
        <v>37</v>
      </c>
      <c r="L140" s="48" t="s">
        <v>37</v>
      </c>
      <c r="M140" s="38">
        <v>41455</v>
      </c>
      <c r="N140" s="48" t="s">
        <v>64</v>
      </c>
      <c r="O140" s="41">
        <v>40000</v>
      </c>
      <c r="P140" s="41">
        <v>40000</v>
      </c>
      <c r="Q140" s="41">
        <v>40000</v>
      </c>
    </row>
    <row r="141" spans="1:17" s="15" customFormat="1" ht="26.25" customHeight="1" x14ac:dyDescent="0.2">
      <c r="A141" s="43" t="s">
        <v>482</v>
      </c>
      <c r="B141" s="46" t="s">
        <v>46</v>
      </c>
      <c r="C141" s="44" t="s">
        <v>22</v>
      </c>
      <c r="D141" s="47">
        <v>4402</v>
      </c>
      <c r="E141" s="46" t="s">
        <v>508</v>
      </c>
      <c r="F141" s="35">
        <f>40000*3</f>
        <v>120000</v>
      </c>
      <c r="G141" s="40">
        <f>40000*3</f>
        <v>120000</v>
      </c>
      <c r="H141" s="35">
        <v>0</v>
      </c>
      <c r="I141" s="35">
        <f t="shared" si="27"/>
        <v>120000</v>
      </c>
      <c r="J141" s="36">
        <f t="shared" si="28"/>
        <v>0</v>
      </c>
      <c r="K141" s="48" t="s">
        <v>37</v>
      </c>
      <c r="L141" s="48" t="s">
        <v>37</v>
      </c>
      <c r="M141" s="38">
        <v>41455</v>
      </c>
      <c r="N141" s="48" t="s">
        <v>64</v>
      </c>
      <c r="O141" s="41">
        <v>40000</v>
      </c>
      <c r="P141" s="41">
        <v>40000</v>
      </c>
      <c r="Q141" s="41">
        <v>40000</v>
      </c>
    </row>
    <row r="142" spans="1:17" s="15" customFormat="1" ht="26.25" customHeight="1" x14ac:dyDescent="0.2">
      <c r="A142" s="43" t="s">
        <v>483</v>
      </c>
      <c r="B142" s="46" t="s">
        <v>46</v>
      </c>
      <c r="C142" s="44" t="s">
        <v>74</v>
      </c>
      <c r="D142" s="47">
        <v>4404</v>
      </c>
      <c r="E142" s="46" t="s">
        <v>509</v>
      </c>
      <c r="F142" s="35">
        <f>30000*3</f>
        <v>90000</v>
      </c>
      <c r="G142" s="40">
        <f>30000*3</f>
        <v>90000</v>
      </c>
      <c r="H142" s="35">
        <v>0</v>
      </c>
      <c r="I142" s="35">
        <f t="shared" si="27"/>
        <v>90000</v>
      </c>
      <c r="J142" s="36">
        <f t="shared" si="28"/>
        <v>0</v>
      </c>
      <c r="K142" s="48" t="s">
        <v>37</v>
      </c>
      <c r="L142" s="48" t="s">
        <v>37</v>
      </c>
      <c r="M142" s="38">
        <v>41455</v>
      </c>
      <c r="N142" s="48" t="s">
        <v>64</v>
      </c>
      <c r="O142" s="41">
        <v>30000</v>
      </c>
      <c r="P142" s="41">
        <v>30000</v>
      </c>
      <c r="Q142" s="41">
        <v>30000</v>
      </c>
    </row>
    <row r="143" spans="1:17" s="15" customFormat="1" ht="26.25" customHeight="1" x14ac:dyDescent="0.2">
      <c r="A143" s="43" t="s">
        <v>484</v>
      </c>
      <c r="B143" s="46" t="s">
        <v>46</v>
      </c>
      <c r="C143" s="44" t="s">
        <v>496</v>
      </c>
      <c r="D143" s="47">
        <v>4406</v>
      </c>
      <c r="E143" s="46" t="s">
        <v>510</v>
      </c>
      <c r="F143" s="35">
        <f>15000*3</f>
        <v>45000</v>
      </c>
      <c r="G143" s="40">
        <f>15000*3</f>
        <v>45000</v>
      </c>
      <c r="H143" s="35">
        <v>0</v>
      </c>
      <c r="I143" s="35">
        <f t="shared" si="27"/>
        <v>45000</v>
      </c>
      <c r="J143" s="36">
        <f t="shared" si="28"/>
        <v>0</v>
      </c>
      <c r="K143" s="48" t="s">
        <v>37</v>
      </c>
      <c r="L143" s="48" t="s">
        <v>37</v>
      </c>
      <c r="M143" s="38">
        <v>41455</v>
      </c>
      <c r="N143" s="48" t="s">
        <v>64</v>
      </c>
      <c r="O143" s="41">
        <v>15000</v>
      </c>
      <c r="P143" s="41">
        <v>15000</v>
      </c>
      <c r="Q143" s="41">
        <v>15000</v>
      </c>
    </row>
    <row r="144" spans="1:17" s="15" customFormat="1" ht="18" customHeight="1" x14ac:dyDescent="0.2">
      <c r="A144" s="43" t="s">
        <v>485</v>
      </c>
      <c r="B144" s="46" t="s">
        <v>46</v>
      </c>
      <c r="C144" s="44" t="s">
        <v>497</v>
      </c>
      <c r="D144" s="47">
        <v>4410</v>
      </c>
      <c r="E144" s="46" t="s">
        <v>511</v>
      </c>
      <c r="F144" s="35">
        <f>10000*3</f>
        <v>30000</v>
      </c>
      <c r="G144" s="40">
        <f>10000*3</f>
        <v>30000</v>
      </c>
      <c r="H144" s="35">
        <v>0</v>
      </c>
      <c r="I144" s="35">
        <f t="shared" si="27"/>
        <v>30000</v>
      </c>
      <c r="J144" s="36">
        <f t="shared" si="28"/>
        <v>0</v>
      </c>
      <c r="K144" s="48" t="s">
        <v>37</v>
      </c>
      <c r="L144" s="48" t="s">
        <v>37</v>
      </c>
      <c r="M144" s="38">
        <v>41455</v>
      </c>
      <c r="N144" s="48" t="s">
        <v>64</v>
      </c>
      <c r="O144" s="41">
        <v>10000</v>
      </c>
      <c r="P144" s="41">
        <v>10000</v>
      </c>
      <c r="Q144" s="41">
        <v>10000</v>
      </c>
    </row>
    <row r="145" spans="1:17" s="15" customFormat="1" ht="26.25" customHeight="1" x14ac:dyDescent="0.2">
      <c r="A145" s="43" t="s">
        <v>486</v>
      </c>
      <c r="B145" s="46" t="s">
        <v>46</v>
      </c>
      <c r="C145" s="44" t="s">
        <v>113</v>
      </c>
      <c r="D145" s="47">
        <v>4411</v>
      </c>
      <c r="E145" s="46" t="s">
        <v>512</v>
      </c>
      <c r="F145" s="35">
        <f>49000*3</f>
        <v>147000</v>
      </c>
      <c r="G145" s="40">
        <f>49000*3</f>
        <v>147000</v>
      </c>
      <c r="H145" s="35">
        <v>0</v>
      </c>
      <c r="I145" s="35">
        <f t="shared" si="27"/>
        <v>147000</v>
      </c>
      <c r="J145" s="36">
        <f t="shared" si="28"/>
        <v>0</v>
      </c>
      <c r="K145" s="48" t="s">
        <v>37</v>
      </c>
      <c r="L145" s="48" t="s">
        <v>37</v>
      </c>
      <c r="M145" s="38">
        <v>41455</v>
      </c>
      <c r="N145" s="48" t="s">
        <v>64</v>
      </c>
      <c r="O145" s="41">
        <v>49000</v>
      </c>
      <c r="P145" s="41">
        <v>49000</v>
      </c>
      <c r="Q145" s="41">
        <v>49000</v>
      </c>
    </row>
    <row r="146" spans="1:17" s="15" customFormat="1" ht="18" customHeight="1" x14ac:dyDescent="0.2">
      <c r="A146" s="43" t="s">
        <v>487</v>
      </c>
      <c r="B146" s="46" t="s">
        <v>46</v>
      </c>
      <c r="C146" s="44" t="s">
        <v>498</v>
      </c>
      <c r="D146" s="47">
        <v>4414</v>
      </c>
      <c r="E146" s="46" t="s">
        <v>513</v>
      </c>
      <c r="F146" s="35">
        <f>7500*3</f>
        <v>22500</v>
      </c>
      <c r="G146" s="40">
        <f>7500*3</f>
        <v>22500</v>
      </c>
      <c r="H146" s="35">
        <v>0</v>
      </c>
      <c r="I146" s="35">
        <f t="shared" si="27"/>
        <v>22500</v>
      </c>
      <c r="J146" s="36">
        <f t="shared" si="28"/>
        <v>0</v>
      </c>
      <c r="K146" s="48" t="s">
        <v>37</v>
      </c>
      <c r="L146" s="48" t="s">
        <v>37</v>
      </c>
      <c r="M146" s="38">
        <v>41455</v>
      </c>
      <c r="N146" s="48" t="s">
        <v>64</v>
      </c>
      <c r="O146" s="41">
        <v>7500</v>
      </c>
      <c r="P146" s="41">
        <v>7500</v>
      </c>
      <c r="Q146" s="41">
        <v>7500</v>
      </c>
    </row>
    <row r="147" spans="1:17" s="15" customFormat="1" ht="38.25" customHeight="1" x14ac:dyDescent="0.2">
      <c r="A147" s="43" t="s">
        <v>488</v>
      </c>
      <c r="B147" s="46" t="s">
        <v>46</v>
      </c>
      <c r="C147" s="44" t="s">
        <v>499</v>
      </c>
      <c r="D147" s="47">
        <v>4405</v>
      </c>
      <c r="E147" s="46" t="s">
        <v>514</v>
      </c>
      <c r="F147" s="35">
        <f>25000*3</f>
        <v>75000</v>
      </c>
      <c r="G147" s="40">
        <f>25000*3</f>
        <v>75000</v>
      </c>
      <c r="H147" s="35">
        <v>0</v>
      </c>
      <c r="I147" s="35">
        <f t="shared" si="27"/>
        <v>75000</v>
      </c>
      <c r="J147" s="36">
        <f t="shared" si="28"/>
        <v>0</v>
      </c>
      <c r="K147" s="48" t="s">
        <v>37</v>
      </c>
      <c r="L147" s="48" t="s">
        <v>37</v>
      </c>
      <c r="M147" s="38">
        <v>41455</v>
      </c>
      <c r="N147" s="48" t="s">
        <v>64</v>
      </c>
      <c r="O147" s="41">
        <v>25000</v>
      </c>
      <c r="P147" s="41">
        <v>25000</v>
      </c>
      <c r="Q147" s="41">
        <v>25000</v>
      </c>
    </row>
    <row r="148" spans="1:17" s="15" customFormat="1" ht="26.25" customHeight="1" x14ac:dyDescent="0.2">
      <c r="A148" s="43" t="s">
        <v>489</v>
      </c>
      <c r="B148" s="46" t="s">
        <v>17</v>
      </c>
      <c r="C148" s="44" t="s">
        <v>500</v>
      </c>
      <c r="D148" s="47">
        <v>3942</v>
      </c>
      <c r="E148" s="46" t="s">
        <v>515</v>
      </c>
      <c r="F148" s="35">
        <f>15000*3</f>
        <v>45000</v>
      </c>
      <c r="G148" s="40">
        <f>15000*3</f>
        <v>45000</v>
      </c>
      <c r="H148" s="35">
        <v>0</v>
      </c>
      <c r="I148" s="35">
        <f t="shared" si="27"/>
        <v>45000</v>
      </c>
      <c r="J148" s="36">
        <f t="shared" si="28"/>
        <v>0</v>
      </c>
      <c r="K148" s="48" t="s">
        <v>37</v>
      </c>
      <c r="L148" s="48" t="s">
        <v>37</v>
      </c>
      <c r="M148" s="38">
        <v>41455</v>
      </c>
      <c r="N148" s="48" t="s">
        <v>64</v>
      </c>
      <c r="O148" s="41">
        <v>15000</v>
      </c>
      <c r="P148" s="41">
        <v>15000</v>
      </c>
      <c r="Q148" s="41">
        <v>15000</v>
      </c>
    </row>
    <row r="149" spans="1:17" s="15" customFormat="1" ht="18" customHeight="1" x14ac:dyDescent="0.2">
      <c r="A149" s="43" t="s">
        <v>490</v>
      </c>
      <c r="B149" s="46" t="s">
        <v>17</v>
      </c>
      <c r="C149" s="44" t="s">
        <v>501</v>
      </c>
      <c r="D149" s="47">
        <v>3939</v>
      </c>
      <c r="E149" s="46" t="s">
        <v>516</v>
      </c>
      <c r="F149" s="35">
        <f>30000*3</f>
        <v>90000</v>
      </c>
      <c r="G149" s="40">
        <f>30000*3</f>
        <v>90000</v>
      </c>
      <c r="H149" s="35">
        <v>0</v>
      </c>
      <c r="I149" s="35">
        <f t="shared" si="27"/>
        <v>90000</v>
      </c>
      <c r="J149" s="36">
        <f t="shared" si="28"/>
        <v>0</v>
      </c>
      <c r="K149" s="48" t="s">
        <v>37</v>
      </c>
      <c r="L149" s="48" t="s">
        <v>37</v>
      </c>
      <c r="M149" s="38">
        <v>41455</v>
      </c>
      <c r="N149" s="48" t="s">
        <v>64</v>
      </c>
      <c r="O149" s="41">
        <v>30000</v>
      </c>
      <c r="P149" s="41">
        <v>30000</v>
      </c>
      <c r="Q149" s="41">
        <v>30000</v>
      </c>
    </row>
    <row r="150" spans="1:17" s="15" customFormat="1" ht="38.25" customHeight="1" x14ac:dyDescent="0.2">
      <c r="A150" s="43" t="s">
        <v>491</v>
      </c>
      <c r="B150" s="46" t="s">
        <v>17</v>
      </c>
      <c r="C150" s="44" t="s">
        <v>502</v>
      </c>
      <c r="D150" s="47">
        <v>4330</v>
      </c>
      <c r="E150" s="46" t="s">
        <v>517</v>
      </c>
      <c r="F150" s="35">
        <v>14995</v>
      </c>
      <c r="G150" s="40">
        <v>14994</v>
      </c>
      <c r="H150" s="35">
        <v>0</v>
      </c>
      <c r="I150" s="35">
        <f t="shared" si="27"/>
        <v>14994</v>
      </c>
      <c r="J150" s="36">
        <f t="shared" si="28"/>
        <v>0</v>
      </c>
      <c r="K150" s="48" t="s">
        <v>37</v>
      </c>
      <c r="L150" s="48" t="s">
        <v>42</v>
      </c>
      <c r="M150" s="38">
        <v>41182</v>
      </c>
      <c r="N150" s="48"/>
      <c r="O150" s="41">
        <v>14995</v>
      </c>
      <c r="P150" s="41"/>
      <c r="Q150" s="41"/>
    </row>
    <row r="151" spans="1:17" s="15" customFormat="1" ht="26.25" customHeight="1" x14ac:dyDescent="0.2">
      <c r="A151" s="43" t="s">
        <v>492</v>
      </c>
      <c r="B151" s="46" t="s">
        <v>39</v>
      </c>
      <c r="C151" s="44" t="s">
        <v>503</v>
      </c>
      <c r="D151" s="47">
        <v>4396</v>
      </c>
      <c r="E151" s="46" t="s">
        <v>519</v>
      </c>
      <c r="F151" s="35">
        <f>10985*3</f>
        <v>32955</v>
      </c>
      <c r="G151" s="40">
        <f>10985*3</f>
        <v>32955</v>
      </c>
      <c r="H151" s="35">
        <v>0</v>
      </c>
      <c r="I151" s="35">
        <f t="shared" si="27"/>
        <v>32955</v>
      </c>
      <c r="J151" s="36">
        <f t="shared" si="28"/>
        <v>0</v>
      </c>
      <c r="K151" s="48" t="s">
        <v>37</v>
      </c>
      <c r="L151" s="48" t="s">
        <v>37</v>
      </c>
      <c r="M151" s="38">
        <v>41547</v>
      </c>
      <c r="N151" s="48" t="s">
        <v>64</v>
      </c>
      <c r="O151" s="41">
        <v>10985</v>
      </c>
      <c r="P151" s="41">
        <v>10985</v>
      </c>
      <c r="Q151" s="41">
        <v>10985</v>
      </c>
    </row>
    <row r="152" spans="1:17" s="15" customFormat="1" ht="26.25" customHeight="1" x14ac:dyDescent="0.2">
      <c r="A152" s="43" t="s">
        <v>493</v>
      </c>
      <c r="B152" s="46" t="s">
        <v>72</v>
      </c>
      <c r="C152" s="44" t="s">
        <v>73</v>
      </c>
      <c r="D152" s="47">
        <v>4415</v>
      </c>
      <c r="E152" s="46" t="s">
        <v>518</v>
      </c>
      <c r="F152" s="35">
        <v>48000</v>
      </c>
      <c r="G152" s="40">
        <v>48000</v>
      </c>
      <c r="H152" s="35">
        <v>0</v>
      </c>
      <c r="I152" s="35">
        <f t="shared" si="27"/>
        <v>48000</v>
      </c>
      <c r="J152" s="36">
        <f t="shared" si="28"/>
        <v>0</v>
      </c>
      <c r="K152" s="48" t="s">
        <v>37</v>
      </c>
      <c r="L152" s="48" t="s">
        <v>37</v>
      </c>
      <c r="M152" s="38">
        <v>41305</v>
      </c>
      <c r="N152" s="48"/>
      <c r="O152" s="41">
        <v>48000</v>
      </c>
      <c r="P152" s="41"/>
      <c r="Q152" s="41"/>
    </row>
    <row r="153" spans="1:17" s="15" customFormat="1" ht="26.25" customHeight="1" x14ac:dyDescent="0.2">
      <c r="A153" s="43" t="s">
        <v>520</v>
      </c>
      <c r="B153" s="46" t="s">
        <v>39</v>
      </c>
      <c r="C153" s="44" t="s">
        <v>525</v>
      </c>
      <c r="D153" s="47">
        <v>4403</v>
      </c>
      <c r="E153" s="46" t="s">
        <v>527</v>
      </c>
      <c r="F153" s="35">
        <v>51984</v>
      </c>
      <c r="G153" s="40">
        <v>51984</v>
      </c>
      <c r="H153" s="35">
        <v>0</v>
      </c>
      <c r="I153" s="35">
        <f t="shared" si="27"/>
        <v>51984</v>
      </c>
      <c r="J153" s="36">
        <f t="shared" si="28"/>
        <v>0</v>
      </c>
      <c r="K153" s="48" t="s">
        <v>37</v>
      </c>
      <c r="L153" s="48" t="s">
        <v>42</v>
      </c>
      <c r="M153" s="38">
        <v>41455</v>
      </c>
      <c r="N153" s="48"/>
      <c r="O153" s="41">
        <v>51984</v>
      </c>
      <c r="P153" s="41"/>
      <c r="Q153" s="41"/>
    </row>
    <row r="154" spans="1:17" s="15" customFormat="1" ht="18" customHeight="1" x14ac:dyDescent="0.2">
      <c r="A154" s="43" t="s">
        <v>521</v>
      </c>
      <c r="B154" s="46" t="s">
        <v>17</v>
      </c>
      <c r="C154" s="44" t="s">
        <v>526</v>
      </c>
      <c r="D154" s="47">
        <v>4331</v>
      </c>
      <c r="E154" s="46" t="s">
        <v>528</v>
      </c>
      <c r="F154" s="35">
        <f>60000*3</f>
        <v>180000</v>
      </c>
      <c r="G154" s="40">
        <f>60000*3</f>
        <v>180000</v>
      </c>
      <c r="H154" s="35">
        <v>0</v>
      </c>
      <c r="I154" s="35">
        <f>G154+H154</f>
        <v>180000</v>
      </c>
      <c r="J154" s="36">
        <f>IF(G154=0,100%,(I154-G154)/G154)</f>
        <v>0</v>
      </c>
      <c r="K154" s="48" t="s">
        <v>37</v>
      </c>
      <c r="L154" s="48" t="s">
        <v>37</v>
      </c>
      <c r="M154" s="38">
        <v>41455</v>
      </c>
      <c r="N154" s="48" t="s">
        <v>64</v>
      </c>
      <c r="O154" s="41">
        <v>60000</v>
      </c>
      <c r="P154" s="41">
        <v>60000</v>
      </c>
      <c r="Q154" s="41">
        <v>60000</v>
      </c>
    </row>
    <row r="155" spans="1:17" s="15" customFormat="1" ht="26.25" customHeight="1" x14ac:dyDescent="0.2">
      <c r="A155" s="43" t="s">
        <v>522</v>
      </c>
      <c r="B155" s="46" t="s">
        <v>50</v>
      </c>
      <c r="C155" s="44" t="s">
        <v>86</v>
      </c>
      <c r="D155" s="47">
        <v>4374</v>
      </c>
      <c r="E155" s="46" t="s">
        <v>529</v>
      </c>
      <c r="F155" s="35">
        <v>50211</v>
      </c>
      <c r="G155" s="40">
        <v>50211</v>
      </c>
      <c r="H155" s="35">
        <v>0</v>
      </c>
      <c r="I155" s="35">
        <f>G155+H155</f>
        <v>50211</v>
      </c>
      <c r="J155" s="36">
        <f>IF(G155=0,100%,(I155-G155)/G155)</f>
        <v>0</v>
      </c>
      <c r="K155" s="48" t="s">
        <v>37</v>
      </c>
      <c r="L155" s="48" t="s">
        <v>37</v>
      </c>
      <c r="M155" s="38">
        <v>42247</v>
      </c>
      <c r="N155" s="48"/>
      <c r="O155" s="41">
        <v>50211</v>
      </c>
      <c r="P155" s="41"/>
      <c r="Q155" s="41"/>
    </row>
    <row r="156" spans="1:17" s="15" customFormat="1" ht="26.25" customHeight="1" x14ac:dyDescent="0.2">
      <c r="A156" s="43" t="s">
        <v>523</v>
      </c>
      <c r="B156" s="46" t="s">
        <v>50</v>
      </c>
      <c r="C156" s="44" t="s">
        <v>59</v>
      </c>
      <c r="D156" s="47">
        <v>4428</v>
      </c>
      <c r="E156" s="46" t="s">
        <v>530</v>
      </c>
      <c r="F156" s="35">
        <v>53375</v>
      </c>
      <c r="G156" s="40">
        <v>53375</v>
      </c>
      <c r="H156" s="35">
        <v>0</v>
      </c>
      <c r="I156" s="35">
        <f>G156+H156</f>
        <v>53375</v>
      </c>
      <c r="J156" s="36">
        <f>IF(G156=0,100%,(I156-G156)/G156)</f>
        <v>0</v>
      </c>
      <c r="K156" s="48" t="s">
        <v>37</v>
      </c>
      <c r="L156" s="48" t="s">
        <v>37</v>
      </c>
      <c r="M156" s="38">
        <v>41455</v>
      </c>
      <c r="N156" s="48"/>
      <c r="O156" s="41">
        <v>53375</v>
      </c>
      <c r="P156" s="41"/>
      <c r="Q156" s="41"/>
    </row>
    <row r="157" spans="1:17" s="15" customFormat="1" ht="26.25" customHeight="1" x14ac:dyDescent="0.2">
      <c r="A157" s="43" t="s">
        <v>524</v>
      </c>
      <c r="B157" s="46" t="s">
        <v>17</v>
      </c>
      <c r="C157" s="44" t="s">
        <v>118</v>
      </c>
      <c r="D157" s="47">
        <v>4309</v>
      </c>
      <c r="E157" s="46" t="s">
        <v>531</v>
      </c>
      <c r="F157" s="35">
        <f>52358*3</f>
        <v>157074</v>
      </c>
      <c r="G157" s="40">
        <f>52358*3</f>
        <v>157074</v>
      </c>
      <c r="H157" s="35">
        <v>0</v>
      </c>
      <c r="I157" s="35">
        <f>G157+H157</f>
        <v>157074</v>
      </c>
      <c r="J157" s="36">
        <f>IF(G157=0,100%,(I157-G157)/G157)</f>
        <v>0</v>
      </c>
      <c r="K157" s="48" t="s">
        <v>37</v>
      </c>
      <c r="L157" s="48" t="s">
        <v>37</v>
      </c>
      <c r="M157" s="38">
        <v>41455</v>
      </c>
      <c r="N157" s="48" t="s">
        <v>64</v>
      </c>
      <c r="O157" s="41">
        <v>52358</v>
      </c>
      <c r="P157" s="41">
        <v>52358</v>
      </c>
      <c r="Q157" s="41">
        <v>52358</v>
      </c>
    </row>
    <row r="158" spans="1:17" s="15" customFormat="1" ht="26.25" customHeight="1" x14ac:dyDescent="0.2">
      <c r="A158" s="43" t="s">
        <v>532</v>
      </c>
      <c r="B158" s="46" t="s">
        <v>20</v>
      </c>
      <c r="C158" s="44" t="s">
        <v>103</v>
      </c>
      <c r="D158" s="47">
        <v>4461</v>
      </c>
      <c r="E158" s="46" t="s">
        <v>563</v>
      </c>
      <c r="F158" s="35">
        <f>25000*3</f>
        <v>75000</v>
      </c>
      <c r="G158" s="40">
        <f>25000*3</f>
        <v>75000</v>
      </c>
      <c r="H158" s="35">
        <v>0</v>
      </c>
      <c r="I158" s="35">
        <f t="shared" ref="I158:I176" si="29">G158+H158</f>
        <v>75000</v>
      </c>
      <c r="J158" s="36">
        <f t="shared" ref="J158:J176" si="30">IF(G158=0,100%,(I158-G158)/G158)</f>
        <v>0</v>
      </c>
      <c r="K158" s="48" t="s">
        <v>37</v>
      </c>
      <c r="L158" s="48" t="s">
        <v>37</v>
      </c>
      <c r="M158" s="38">
        <v>41455</v>
      </c>
      <c r="N158" s="48" t="s">
        <v>64</v>
      </c>
      <c r="O158" s="41">
        <v>25000</v>
      </c>
      <c r="P158" s="41">
        <v>25000</v>
      </c>
      <c r="Q158" s="41">
        <v>25000</v>
      </c>
    </row>
    <row r="159" spans="1:17" s="15" customFormat="1" ht="26.25" customHeight="1" x14ac:dyDescent="0.2">
      <c r="A159" s="43" t="s">
        <v>533</v>
      </c>
      <c r="B159" s="46" t="s">
        <v>48</v>
      </c>
      <c r="C159" s="44" t="s">
        <v>53</v>
      </c>
      <c r="D159" s="47">
        <v>4485</v>
      </c>
      <c r="E159" s="46" t="s">
        <v>564</v>
      </c>
      <c r="F159" s="35">
        <v>13535</v>
      </c>
      <c r="G159" s="40">
        <v>13535</v>
      </c>
      <c r="H159" s="35">
        <v>0</v>
      </c>
      <c r="I159" s="35">
        <f t="shared" si="29"/>
        <v>13535</v>
      </c>
      <c r="J159" s="36">
        <f t="shared" si="30"/>
        <v>0</v>
      </c>
      <c r="K159" s="48" t="s">
        <v>37</v>
      </c>
      <c r="L159" s="48" t="s">
        <v>37</v>
      </c>
      <c r="M159" s="38">
        <v>41455</v>
      </c>
      <c r="N159" s="48"/>
      <c r="O159" s="41">
        <v>13535</v>
      </c>
      <c r="P159" s="41"/>
      <c r="Q159" s="41"/>
    </row>
    <row r="160" spans="1:17" s="15" customFormat="1" ht="26.25" customHeight="1" x14ac:dyDescent="0.2">
      <c r="A160" s="43" t="s">
        <v>534</v>
      </c>
      <c r="B160" s="46" t="s">
        <v>39</v>
      </c>
      <c r="C160" s="44" t="s">
        <v>552</v>
      </c>
      <c r="D160" s="47">
        <v>4474</v>
      </c>
      <c r="E160" s="46" t="s">
        <v>565</v>
      </c>
      <c r="F160" s="35">
        <f>12000*3</f>
        <v>36000</v>
      </c>
      <c r="G160" s="40">
        <f>12000*3</f>
        <v>36000</v>
      </c>
      <c r="H160" s="35">
        <v>0</v>
      </c>
      <c r="I160" s="35">
        <f t="shared" si="29"/>
        <v>36000</v>
      </c>
      <c r="J160" s="36">
        <f t="shared" si="30"/>
        <v>0</v>
      </c>
      <c r="K160" s="48" t="s">
        <v>37</v>
      </c>
      <c r="L160" s="48" t="s">
        <v>37</v>
      </c>
      <c r="M160" s="38">
        <v>41455</v>
      </c>
      <c r="N160" s="48" t="s">
        <v>64</v>
      </c>
      <c r="O160" s="41">
        <v>12000</v>
      </c>
      <c r="P160" s="41">
        <v>12000</v>
      </c>
      <c r="Q160" s="41">
        <v>12000</v>
      </c>
    </row>
    <row r="161" spans="1:17" s="15" customFormat="1" ht="26.25" customHeight="1" x14ac:dyDescent="0.2">
      <c r="A161" s="43" t="s">
        <v>535</v>
      </c>
      <c r="B161" s="46" t="s">
        <v>26</v>
      </c>
      <c r="C161" s="44" t="s">
        <v>102</v>
      </c>
      <c r="D161" s="47">
        <v>4522</v>
      </c>
      <c r="E161" s="46" t="s">
        <v>566</v>
      </c>
      <c r="F161" s="35">
        <v>10542</v>
      </c>
      <c r="G161" s="40">
        <v>10542</v>
      </c>
      <c r="H161" s="35">
        <v>0</v>
      </c>
      <c r="I161" s="35">
        <f t="shared" si="29"/>
        <v>10542</v>
      </c>
      <c r="J161" s="36">
        <f t="shared" si="30"/>
        <v>0</v>
      </c>
      <c r="K161" s="48" t="s">
        <v>37</v>
      </c>
      <c r="L161" s="48" t="s">
        <v>37</v>
      </c>
      <c r="M161" s="38">
        <v>41090</v>
      </c>
      <c r="N161" s="48"/>
      <c r="O161" s="41">
        <v>10542</v>
      </c>
      <c r="P161" s="41"/>
      <c r="Q161" s="41"/>
    </row>
    <row r="162" spans="1:17" s="15" customFormat="1" ht="26.25" customHeight="1" x14ac:dyDescent="0.2">
      <c r="A162" s="43" t="s">
        <v>536</v>
      </c>
      <c r="B162" s="46" t="s">
        <v>50</v>
      </c>
      <c r="C162" s="44" t="s">
        <v>58</v>
      </c>
      <c r="D162" s="47">
        <v>4187</v>
      </c>
      <c r="E162" s="46" t="s">
        <v>567</v>
      </c>
      <c r="F162" s="35">
        <v>9825</v>
      </c>
      <c r="G162" s="40">
        <v>35000</v>
      </c>
      <c r="H162" s="35">
        <f>9000+9825</f>
        <v>18825</v>
      </c>
      <c r="I162" s="35">
        <f t="shared" si="29"/>
        <v>53825</v>
      </c>
      <c r="J162" s="36">
        <f t="shared" si="30"/>
        <v>0.53785714285714281</v>
      </c>
      <c r="K162" s="48" t="s">
        <v>37</v>
      </c>
      <c r="L162" s="48" t="s">
        <v>37</v>
      </c>
      <c r="M162" s="38">
        <v>41274</v>
      </c>
      <c r="N162" s="48" t="s">
        <v>36</v>
      </c>
      <c r="O162" s="41">
        <v>9825</v>
      </c>
      <c r="P162" s="41"/>
      <c r="Q162" s="41"/>
    </row>
    <row r="163" spans="1:17" s="15" customFormat="1" ht="26.25" customHeight="1" x14ac:dyDescent="0.2">
      <c r="A163" s="43" t="s">
        <v>537</v>
      </c>
      <c r="B163" s="46" t="s">
        <v>46</v>
      </c>
      <c r="C163" s="44" t="s">
        <v>52</v>
      </c>
      <c r="D163" s="47">
        <v>4471</v>
      </c>
      <c r="E163" s="46" t="s">
        <v>568</v>
      </c>
      <c r="F163" s="35">
        <v>18487</v>
      </c>
      <c r="G163" s="40">
        <v>18487</v>
      </c>
      <c r="H163" s="35">
        <v>0</v>
      </c>
      <c r="I163" s="35">
        <f t="shared" si="29"/>
        <v>18487</v>
      </c>
      <c r="J163" s="36">
        <f t="shared" si="30"/>
        <v>0</v>
      </c>
      <c r="K163" s="48" t="s">
        <v>37</v>
      </c>
      <c r="L163" s="48" t="s">
        <v>42</v>
      </c>
      <c r="M163" s="38">
        <v>406668</v>
      </c>
      <c r="N163" s="48"/>
      <c r="O163" s="41">
        <v>18487</v>
      </c>
      <c r="P163" s="41"/>
      <c r="Q163" s="41"/>
    </row>
    <row r="164" spans="1:17" s="15" customFormat="1" ht="38.25" customHeight="1" x14ac:dyDescent="0.2">
      <c r="A164" s="43" t="s">
        <v>538</v>
      </c>
      <c r="B164" s="46" t="s">
        <v>551</v>
      </c>
      <c r="C164" s="44" t="s">
        <v>553</v>
      </c>
      <c r="D164" s="47">
        <v>4185</v>
      </c>
      <c r="E164" s="46" t="s">
        <v>569</v>
      </c>
      <c r="F164" s="35">
        <f>22000*3</f>
        <v>66000</v>
      </c>
      <c r="G164" s="40">
        <f>22000*3</f>
        <v>66000</v>
      </c>
      <c r="H164" s="35">
        <v>0</v>
      </c>
      <c r="I164" s="35">
        <f t="shared" si="29"/>
        <v>66000</v>
      </c>
      <c r="J164" s="36">
        <f t="shared" si="30"/>
        <v>0</v>
      </c>
      <c r="K164" s="48" t="s">
        <v>37</v>
      </c>
      <c r="L164" s="48" t="s">
        <v>37</v>
      </c>
      <c r="M164" s="38">
        <v>41455</v>
      </c>
      <c r="N164" s="48" t="s">
        <v>64</v>
      </c>
      <c r="O164" s="41">
        <v>22000</v>
      </c>
      <c r="P164" s="41">
        <v>22000</v>
      </c>
      <c r="Q164" s="41">
        <v>22000</v>
      </c>
    </row>
    <row r="165" spans="1:17" s="15" customFormat="1" ht="26.25" customHeight="1" x14ac:dyDescent="0.2">
      <c r="A165" s="43" t="s">
        <v>539</v>
      </c>
      <c r="B165" s="46" t="s">
        <v>551</v>
      </c>
      <c r="C165" s="44" t="s">
        <v>554</v>
      </c>
      <c r="D165" s="47">
        <v>4183</v>
      </c>
      <c r="E165" s="46" t="s">
        <v>570</v>
      </c>
      <c r="F165" s="35">
        <f>10000*3</f>
        <v>30000</v>
      </c>
      <c r="G165" s="40">
        <f>10000*3</f>
        <v>30000</v>
      </c>
      <c r="H165" s="35">
        <v>0</v>
      </c>
      <c r="I165" s="35">
        <f t="shared" si="29"/>
        <v>30000</v>
      </c>
      <c r="J165" s="36">
        <f t="shared" si="30"/>
        <v>0</v>
      </c>
      <c r="K165" s="48" t="s">
        <v>37</v>
      </c>
      <c r="L165" s="48" t="s">
        <v>37</v>
      </c>
      <c r="M165" s="38">
        <v>41455</v>
      </c>
      <c r="N165" s="48" t="s">
        <v>64</v>
      </c>
      <c r="O165" s="41">
        <v>10000</v>
      </c>
      <c r="P165" s="41">
        <v>10000</v>
      </c>
      <c r="Q165" s="41">
        <v>10000</v>
      </c>
    </row>
    <row r="166" spans="1:17" s="15" customFormat="1" ht="26.25" customHeight="1" x14ac:dyDescent="0.2">
      <c r="A166" s="43" t="s">
        <v>540</v>
      </c>
      <c r="B166" s="46" t="s">
        <v>551</v>
      </c>
      <c r="C166" s="44" t="s">
        <v>555</v>
      </c>
      <c r="D166" s="47">
        <v>4182</v>
      </c>
      <c r="E166" s="46" t="s">
        <v>570</v>
      </c>
      <c r="F166" s="35">
        <f>10000*3</f>
        <v>30000</v>
      </c>
      <c r="G166" s="40">
        <f>10000*3</f>
        <v>30000</v>
      </c>
      <c r="H166" s="35">
        <v>0</v>
      </c>
      <c r="I166" s="35">
        <f t="shared" si="29"/>
        <v>30000</v>
      </c>
      <c r="J166" s="36">
        <f t="shared" si="30"/>
        <v>0</v>
      </c>
      <c r="K166" s="48" t="s">
        <v>37</v>
      </c>
      <c r="L166" s="48" t="s">
        <v>37</v>
      </c>
      <c r="M166" s="38">
        <v>41455</v>
      </c>
      <c r="N166" s="48" t="s">
        <v>64</v>
      </c>
      <c r="O166" s="41">
        <v>10000</v>
      </c>
      <c r="P166" s="41">
        <v>10000</v>
      </c>
      <c r="Q166" s="41">
        <v>10000</v>
      </c>
    </row>
    <row r="167" spans="1:17" s="15" customFormat="1" ht="26.25" customHeight="1" x14ac:dyDescent="0.2">
      <c r="A167" s="43" t="s">
        <v>541</v>
      </c>
      <c r="B167" s="46" t="s">
        <v>551</v>
      </c>
      <c r="C167" s="44" t="s">
        <v>556</v>
      </c>
      <c r="D167" s="47">
        <v>4181</v>
      </c>
      <c r="E167" s="46" t="s">
        <v>571</v>
      </c>
      <c r="F167" s="35">
        <f>15000*3</f>
        <v>45000</v>
      </c>
      <c r="G167" s="40">
        <f>15000*3</f>
        <v>45000</v>
      </c>
      <c r="H167" s="35">
        <v>0</v>
      </c>
      <c r="I167" s="35">
        <f t="shared" si="29"/>
        <v>45000</v>
      </c>
      <c r="J167" s="36">
        <f t="shared" si="30"/>
        <v>0</v>
      </c>
      <c r="K167" s="48" t="s">
        <v>37</v>
      </c>
      <c r="L167" s="48" t="s">
        <v>37</v>
      </c>
      <c r="M167" s="38">
        <v>41455</v>
      </c>
      <c r="N167" s="48" t="s">
        <v>64</v>
      </c>
      <c r="O167" s="41">
        <v>15000</v>
      </c>
      <c r="P167" s="41">
        <v>15000</v>
      </c>
      <c r="Q167" s="41">
        <v>15000</v>
      </c>
    </row>
    <row r="168" spans="1:17" s="15" customFormat="1" ht="26.25" customHeight="1" x14ac:dyDescent="0.2">
      <c r="A168" s="43" t="s">
        <v>542</v>
      </c>
      <c r="B168" s="46" t="s">
        <v>551</v>
      </c>
      <c r="C168" s="44" t="s">
        <v>94</v>
      </c>
      <c r="D168" s="47">
        <v>4179</v>
      </c>
      <c r="E168" s="46" t="s">
        <v>572</v>
      </c>
      <c r="F168" s="35">
        <f>30000*3</f>
        <v>90000</v>
      </c>
      <c r="G168" s="40">
        <f>30000*3</f>
        <v>90000</v>
      </c>
      <c r="H168" s="35">
        <v>0</v>
      </c>
      <c r="I168" s="35">
        <f t="shared" si="29"/>
        <v>90000</v>
      </c>
      <c r="J168" s="36">
        <f t="shared" si="30"/>
        <v>0</v>
      </c>
      <c r="K168" s="48" t="s">
        <v>37</v>
      </c>
      <c r="L168" s="48" t="s">
        <v>37</v>
      </c>
      <c r="M168" s="38">
        <v>41455</v>
      </c>
      <c r="N168" s="48" t="s">
        <v>64</v>
      </c>
      <c r="O168" s="41">
        <v>30000</v>
      </c>
      <c r="P168" s="41">
        <v>30000</v>
      </c>
      <c r="Q168" s="41">
        <v>30000</v>
      </c>
    </row>
    <row r="169" spans="1:17" s="15" customFormat="1" ht="26.25" customHeight="1" x14ac:dyDescent="0.2">
      <c r="A169" s="43" t="s">
        <v>543</v>
      </c>
      <c r="B169" s="46" t="s">
        <v>551</v>
      </c>
      <c r="C169" s="44" t="s">
        <v>557</v>
      </c>
      <c r="D169" s="47">
        <v>4171</v>
      </c>
      <c r="E169" s="46" t="s">
        <v>573</v>
      </c>
      <c r="F169" s="35">
        <f>20000*3</f>
        <v>60000</v>
      </c>
      <c r="G169" s="40">
        <f>20000*3</f>
        <v>60000</v>
      </c>
      <c r="H169" s="35">
        <v>0</v>
      </c>
      <c r="I169" s="35">
        <f t="shared" si="29"/>
        <v>60000</v>
      </c>
      <c r="J169" s="36">
        <f t="shared" si="30"/>
        <v>0</v>
      </c>
      <c r="K169" s="48" t="s">
        <v>37</v>
      </c>
      <c r="L169" s="48" t="s">
        <v>37</v>
      </c>
      <c r="M169" s="38">
        <v>41455</v>
      </c>
      <c r="N169" s="48" t="s">
        <v>64</v>
      </c>
      <c r="O169" s="41">
        <v>20000</v>
      </c>
      <c r="P169" s="41">
        <v>20000</v>
      </c>
      <c r="Q169" s="41">
        <v>20000</v>
      </c>
    </row>
    <row r="170" spans="1:17" s="15" customFormat="1" ht="26.25" customHeight="1" x14ac:dyDescent="0.2">
      <c r="A170" s="43" t="s">
        <v>544</v>
      </c>
      <c r="B170" s="46" t="s">
        <v>17</v>
      </c>
      <c r="C170" s="44" t="s">
        <v>558</v>
      </c>
      <c r="D170" s="47">
        <v>4165</v>
      </c>
      <c r="E170" s="46" t="s">
        <v>574</v>
      </c>
      <c r="F170" s="35">
        <f>25500*3</f>
        <v>76500</v>
      </c>
      <c r="G170" s="40">
        <f>25500*3</f>
        <v>76500</v>
      </c>
      <c r="H170" s="35">
        <v>0</v>
      </c>
      <c r="I170" s="35">
        <f t="shared" si="29"/>
        <v>76500</v>
      </c>
      <c r="J170" s="36">
        <f t="shared" si="30"/>
        <v>0</v>
      </c>
      <c r="K170" s="48" t="s">
        <v>37</v>
      </c>
      <c r="L170" s="48" t="s">
        <v>37</v>
      </c>
      <c r="M170" s="38">
        <v>41455</v>
      </c>
      <c r="N170" s="48" t="s">
        <v>64</v>
      </c>
      <c r="O170" s="41">
        <v>25500</v>
      </c>
      <c r="P170" s="41">
        <v>25500</v>
      </c>
      <c r="Q170" s="41">
        <v>25500</v>
      </c>
    </row>
    <row r="171" spans="1:17" s="15" customFormat="1" ht="18" customHeight="1" x14ac:dyDescent="0.2">
      <c r="A171" s="43" t="s">
        <v>545</v>
      </c>
      <c r="B171" s="46" t="s">
        <v>45</v>
      </c>
      <c r="C171" s="44" t="s">
        <v>559</v>
      </c>
      <c r="D171" s="47">
        <v>3656</v>
      </c>
      <c r="E171" s="46" t="s">
        <v>575</v>
      </c>
      <c r="F171" s="35">
        <f>24100*3</f>
        <v>72300</v>
      </c>
      <c r="G171" s="40">
        <f>24100*3</f>
        <v>72300</v>
      </c>
      <c r="H171" s="35">
        <v>0</v>
      </c>
      <c r="I171" s="35">
        <f t="shared" si="29"/>
        <v>72300</v>
      </c>
      <c r="J171" s="36">
        <f t="shared" si="30"/>
        <v>0</v>
      </c>
      <c r="K171" s="48" t="s">
        <v>37</v>
      </c>
      <c r="L171" s="48" t="s">
        <v>37</v>
      </c>
      <c r="M171" s="38">
        <v>41455</v>
      </c>
      <c r="N171" s="48" t="s">
        <v>64</v>
      </c>
      <c r="O171" s="41">
        <v>24100</v>
      </c>
      <c r="P171" s="41">
        <v>24100</v>
      </c>
      <c r="Q171" s="41">
        <v>24100</v>
      </c>
    </row>
    <row r="172" spans="1:17" s="15" customFormat="1" ht="18" customHeight="1" x14ac:dyDescent="0.2">
      <c r="A172" s="43" t="s">
        <v>546</v>
      </c>
      <c r="B172" s="46" t="s">
        <v>45</v>
      </c>
      <c r="C172" s="44" t="s">
        <v>207</v>
      </c>
      <c r="D172" s="47">
        <v>3912</v>
      </c>
      <c r="E172" s="46" t="s">
        <v>576</v>
      </c>
      <c r="F172" s="35">
        <f>13500*3</f>
        <v>40500</v>
      </c>
      <c r="G172" s="40">
        <f>13500*3</f>
        <v>40500</v>
      </c>
      <c r="H172" s="35">
        <v>0</v>
      </c>
      <c r="I172" s="35">
        <f t="shared" si="29"/>
        <v>40500</v>
      </c>
      <c r="J172" s="36">
        <f t="shared" si="30"/>
        <v>0</v>
      </c>
      <c r="K172" s="48" t="s">
        <v>37</v>
      </c>
      <c r="L172" s="48" t="s">
        <v>37</v>
      </c>
      <c r="M172" s="38">
        <v>41455</v>
      </c>
      <c r="N172" s="48" t="s">
        <v>64</v>
      </c>
      <c r="O172" s="41">
        <v>13500</v>
      </c>
      <c r="P172" s="41">
        <v>13500</v>
      </c>
      <c r="Q172" s="41">
        <v>13500</v>
      </c>
    </row>
    <row r="173" spans="1:17" s="15" customFormat="1" ht="26.25" customHeight="1" x14ac:dyDescent="0.2">
      <c r="A173" s="43" t="s">
        <v>547</v>
      </c>
      <c r="B173" s="46" t="s">
        <v>50</v>
      </c>
      <c r="C173" s="44" t="s">
        <v>560</v>
      </c>
      <c r="D173" s="47">
        <v>4079</v>
      </c>
      <c r="E173" s="46" t="s">
        <v>577</v>
      </c>
      <c r="F173" s="35">
        <f>10112*3</f>
        <v>30336</v>
      </c>
      <c r="G173" s="40">
        <f>10112*3</f>
        <v>30336</v>
      </c>
      <c r="H173" s="35">
        <v>0</v>
      </c>
      <c r="I173" s="35">
        <f t="shared" si="29"/>
        <v>30336</v>
      </c>
      <c r="J173" s="36">
        <f t="shared" si="30"/>
        <v>0</v>
      </c>
      <c r="K173" s="48" t="s">
        <v>37</v>
      </c>
      <c r="L173" s="48" t="s">
        <v>37</v>
      </c>
      <c r="M173" s="38">
        <v>41455</v>
      </c>
      <c r="N173" s="48" t="s">
        <v>64</v>
      </c>
      <c r="O173" s="41">
        <v>10112</v>
      </c>
      <c r="P173" s="41">
        <v>10112</v>
      </c>
      <c r="Q173" s="41">
        <v>10112</v>
      </c>
    </row>
    <row r="174" spans="1:17" s="15" customFormat="1" ht="26.25" customHeight="1" x14ac:dyDescent="0.2">
      <c r="A174" s="43" t="s">
        <v>548</v>
      </c>
      <c r="B174" s="46" t="s">
        <v>66</v>
      </c>
      <c r="C174" s="44" t="s">
        <v>68</v>
      </c>
      <c r="D174" s="47">
        <v>4509</v>
      </c>
      <c r="E174" s="46" t="s">
        <v>578</v>
      </c>
      <c r="F174" s="35">
        <v>15093</v>
      </c>
      <c r="G174" s="40">
        <v>15093</v>
      </c>
      <c r="H174" s="35">
        <v>0</v>
      </c>
      <c r="I174" s="35">
        <f t="shared" si="29"/>
        <v>15093</v>
      </c>
      <c r="J174" s="36">
        <f t="shared" si="30"/>
        <v>0</v>
      </c>
      <c r="K174" s="48" t="s">
        <v>37</v>
      </c>
      <c r="L174" s="48" t="s">
        <v>37</v>
      </c>
      <c r="M174" s="38">
        <v>41517</v>
      </c>
      <c r="N174" s="48"/>
      <c r="O174" s="41">
        <v>15093</v>
      </c>
      <c r="P174" s="41"/>
      <c r="Q174" s="41"/>
    </row>
    <row r="175" spans="1:17" s="15" customFormat="1" ht="18" customHeight="1" x14ac:dyDescent="0.2">
      <c r="A175" s="43" t="s">
        <v>549</v>
      </c>
      <c r="B175" s="46" t="s">
        <v>39</v>
      </c>
      <c r="C175" s="44" t="s">
        <v>561</v>
      </c>
      <c r="D175" s="47">
        <v>4434</v>
      </c>
      <c r="E175" s="46" t="s">
        <v>579</v>
      </c>
      <c r="F175" s="35">
        <f>10000*3</f>
        <v>30000</v>
      </c>
      <c r="G175" s="40">
        <f>10000*3</f>
        <v>30000</v>
      </c>
      <c r="H175" s="35">
        <v>0</v>
      </c>
      <c r="I175" s="35">
        <f t="shared" si="29"/>
        <v>30000</v>
      </c>
      <c r="J175" s="36">
        <f t="shared" si="30"/>
        <v>0</v>
      </c>
      <c r="K175" s="48" t="s">
        <v>37</v>
      </c>
      <c r="L175" s="48" t="s">
        <v>37</v>
      </c>
      <c r="M175" s="38">
        <v>41455</v>
      </c>
      <c r="N175" s="48" t="s">
        <v>64</v>
      </c>
      <c r="O175" s="41">
        <v>10000</v>
      </c>
      <c r="P175" s="41">
        <v>10000</v>
      </c>
      <c r="Q175" s="41">
        <v>10000</v>
      </c>
    </row>
    <row r="176" spans="1:17" s="15" customFormat="1" ht="26.25" customHeight="1" x14ac:dyDescent="0.2">
      <c r="A176" s="43" t="s">
        <v>550</v>
      </c>
      <c r="B176" s="46" t="s">
        <v>39</v>
      </c>
      <c r="C176" s="44" t="s">
        <v>562</v>
      </c>
      <c r="D176" s="34">
        <v>4477</v>
      </c>
      <c r="E176" s="46" t="s">
        <v>580</v>
      </c>
      <c r="F176" s="35">
        <f>15000*3</f>
        <v>45000</v>
      </c>
      <c r="G176" s="40">
        <f>15000*3</f>
        <v>45000</v>
      </c>
      <c r="H176" s="35">
        <v>0</v>
      </c>
      <c r="I176" s="35">
        <f t="shared" si="29"/>
        <v>45000</v>
      </c>
      <c r="J176" s="36">
        <f t="shared" si="30"/>
        <v>0</v>
      </c>
      <c r="K176" s="48" t="s">
        <v>37</v>
      </c>
      <c r="L176" s="48" t="s">
        <v>37</v>
      </c>
      <c r="M176" s="38">
        <v>41455</v>
      </c>
      <c r="N176" s="48" t="s">
        <v>64</v>
      </c>
      <c r="O176" s="35">
        <v>15000</v>
      </c>
      <c r="P176" s="35">
        <v>15000</v>
      </c>
      <c r="Q176" s="35">
        <v>15000</v>
      </c>
    </row>
    <row r="177" spans="1:17" s="15" customFormat="1" ht="26.25" customHeight="1" x14ac:dyDescent="0.2">
      <c r="A177" s="43" t="s">
        <v>581</v>
      </c>
      <c r="B177" s="46" t="s">
        <v>26</v>
      </c>
      <c r="C177" s="44" t="s">
        <v>586</v>
      </c>
      <c r="D177" s="47" t="s">
        <v>41</v>
      </c>
      <c r="E177" s="46" t="s">
        <v>584</v>
      </c>
      <c r="F177" s="35">
        <v>20000</v>
      </c>
      <c r="G177" s="40">
        <v>20000</v>
      </c>
      <c r="H177" s="35">
        <v>0</v>
      </c>
      <c r="I177" s="35">
        <f t="shared" ref="I177:I183" si="31">G177+H177</f>
        <v>20000</v>
      </c>
      <c r="J177" s="36">
        <f t="shared" ref="J177:J183" si="32">IF(G177=0,100%,(I177-G177)/G177)</f>
        <v>0</v>
      </c>
      <c r="K177" s="48" t="s">
        <v>37</v>
      </c>
      <c r="L177" s="48" t="s">
        <v>37</v>
      </c>
      <c r="M177" s="38">
        <v>41455</v>
      </c>
      <c r="N177" s="37"/>
      <c r="O177" s="41">
        <v>20000</v>
      </c>
      <c r="P177" s="35"/>
      <c r="Q177" s="35"/>
    </row>
    <row r="178" spans="1:17" s="15" customFormat="1" ht="26.25" customHeight="1" x14ac:dyDescent="0.2">
      <c r="A178" s="43" t="s">
        <v>582</v>
      </c>
      <c r="B178" s="46" t="s">
        <v>26</v>
      </c>
      <c r="C178" s="44" t="s">
        <v>586</v>
      </c>
      <c r="D178" s="47" t="s">
        <v>41</v>
      </c>
      <c r="E178" s="46" t="s">
        <v>585</v>
      </c>
      <c r="F178" s="35">
        <v>25000</v>
      </c>
      <c r="G178" s="40">
        <v>25000</v>
      </c>
      <c r="H178" s="35">
        <v>0</v>
      </c>
      <c r="I178" s="35">
        <f t="shared" si="31"/>
        <v>25000</v>
      </c>
      <c r="J178" s="36">
        <f t="shared" si="32"/>
        <v>0</v>
      </c>
      <c r="K178" s="48" t="s">
        <v>37</v>
      </c>
      <c r="L178" s="48" t="s">
        <v>37</v>
      </c>
      <c r="M178" s="38">
        <v>41455</v>
      </c>
      <c r="N178" s="37"/>
      <c r="O178" s="35">
        <v>25000</v>
      </c>
      <c r="P178" s="35"/>
      <c r="Q178" s="35"/>
    </row>
    <row r="179" spans="1:17" s="15" customFormat="1" ht="26.25" customHeight="1" x14ac:dyDescent="0.2">
      <c r="A179" s="43" t="s">
        <v>583</v>
      </c>
      <c r="B179" s="46" t="s">
        <v>76</v>
      </c>
      <c r="C179" s="44" t="s">
        <v>595</v>
      </c>
      <c r="D179" s="34">
        <v>4448</v>
      </c>
      <c r="E179" s="46" t="s">
        <v>110</v>
      </c>
      <c r="F179" s="35">
        <v>44600</v>
      </c>
      <c r="G179" s="40">
        <v>48000</v>
      </c>
      <c r="H179" s="35">
        <v>44600</v>
      </c>
      <c r="I179" s="35">
        <f t="shared" si="31"/>
        <v>92600</v>
      </c>
      <c r="J179" s="36">
        <f t="shared" si="32"/>
        <v>0.9291666666666667</v>
      </c>
      <c r="K179" s="48" t="s">
        <v>37</v>
      </c>
      <c r="L179" s="48" t="s">
        <v>37</v>
      </c>
      <c r="M179" s="38">
        <v>41639</v>
      </c>
      <c r="N179" s="48" t="s">
        <v>36</v>
      </c>
      <c r="O179" s="35">
        <v>44600</v>
      </c>
      <c r="P179" s="35"/>
      <c r="Q179" s="35"/>
    </row>
    <row r="180" spans="1:17" s="15" customFormat="1" ht="18" customHeight="1" x14ac:dyDescent="0.2">
      <c r="A180" s="43" t="s">
        <v>587</v>
      </c>
      <c r="B180" s="46" t="s">
        <v>46</v>
      </c>
      <c r="C180" s="44" t="s">
        <v>596</v>
      </c>
      <c r="D180" s="34">
        <v>4453</v>
      </c>
      <c r="E180" s="46" t="s">
        <v>591</v>
      </c>
      <c r="F180" s="35">
        <f>20000*3</f>
        <v>60000</v>
      </c>
      <c r="G180" s="40">
        <f>20000*3</f>
        <v>60000</v>
      </c>
      <c r="H180" s="35">
        <v>0</v>
      </c>
      <c r="I180" s="35">
        <f t="shared" si="31"/>
        <v>60000</v>
      </c>
      <c r="J180" s="36">
        <f t="shared" si="32"/>
        <v>0</v>
      </c>
      <c r="K180" s="48" t="s">
        <v>37</v>
      </c>
      <c r="L180" s="48" t="s">
        <v>37</v>
      </c>
      <c r="M180" s="38">
        <v>41455</v>
      </c>
      <c r="N180" s="48" t="s">
        <v>64</v>
      </c>
      <c r="O180" s="35">
        <v>20000</v>
      </c>
      <c r="P180" s="35">
        <v>20000</v>
      </c>
      <c r="Q180" s="35">
        <v>20000</v>
      </c>
    </row>
    <row r="181" spans="1:17" s="15" customFormat="1" ht="26.25" customHeight="1" x14ac:dyDescent="0.2">
      <c r="A181" s="43" t="s">
        <v>588</v>
      </c>
      <c r="B181" s="46" t="s">
        <v>49</v>
      </c>
      <c r="C181" s="44" t="s">
        <v>597</v>
      </c>
      <c r="D181" s="34">
        <v>4462</v>
      </c>
      <c r="E181" s="46" t="s">
        <v>592</v>
      </c>
      <c r="F181" s="35">
        <v>30000</v>
      </c>
      <c r="G181" s="40">
        <v>30000</v>
      </c>
      <c r="H181" s="35">
        <v>0</v>
      </c>
      <c r="I181" s="35">
        <f t="shared" si="31"/>
        <v>30000</v>
      </c>
      <c r="J181" s="36">
        <f t="shared" si="32"/>
        <v>0</v>
      </c>
      <c r="K181" s="48" t="s">
        <v>37</v>
      </c>
      <c r="L181" s="48" t="s">
        <v>37</v>
      </c>
      <c r="M181" s="38">
        <v>42185</v>
      </c>
      <c r="N181" s="37"/>
      <c r="O181" s="35">
        <v>30000</v>
      </c>
      <c r="P181" s="35"/>
      <c r="Q181" s="35"/>
    </row>
    <row r="182" spans="1:17" s="15" customFormat="1" ht="26.25" customHeight="1" x14ac:dyDescent="0.2">
      <c r="A182" s="43" t="s">
        <v>589</v>
      </c>
      <c r="B182" s="46" t="s">
        <v>46</v>
      </c>
      <c r="C182" s="44" t="s">
        <v>70</v>
      </c>
      <c r="D182" s="34">
        <v>4498</v>
      </c>
      <c r="E182" s="46" t="s">
        <v>593</v>
      </c>
      <c r="F182" s="35">
        <f>25000*3</f>
        <v>75000</v>
      </c>
      <c r="G182" s="40">
        <f>25000*3</f>
        <v>75000</v>
      </c>
      <c r="H182" s="35">
        <v>0</v>
      </c>
      <c r="I182" s="35">
        <f t="shared" si="31"/>
        <v>75000</v>
      </c>
      <c r="J182" s="36">
        <f t="shared" si="32"/>
        <v>0</v>
      </c>
      <c r="K182" s="48" t="s">
        <v>37</v>
      </c>
      <c r="L182" s="48" t="s">
        <v>37</v>
      </c>
      <c r="M182" s="38">
        <v>41455</v>
      </c>
      <c r="N182" s="48" t="s">
        <v>64</v>
      </c>
      <c r="O182" s="35">
        <v>25000</v>
      </c>
      <c r="P182" s="35">
        <v>25000</v>
      </c>
      <c r="Q182" s="35">
        <v>25000</v>
      </c>
    </row>
    <row r="183" spans="1:17" s="15" customFormat="1" ht="26.25" customHeight="1" x14ac:dyDescent="0.2">
      <c r="A183" s="43" t="s">
        <v>590</v>
      </c>
      <c r="B183" s="46" t="s">
        <v>46</v>
      </c>
      <c r="C183" s="44" t="s">
        <v>71</v>
      </c>
      <c r="D183" s="34">
        <v>4501</v>
      </c>
      <c r="E183" s="46" t="s">
        <v>594</v>
      </c>
      <c r="F183" s="35">
        <f>22330*3</f>
        <v>66990</v>
      </c>
      <c r="G183" s="40">
        <f>22330*3</f>
        <v>66990</v>
      </c>
      <c r="H183" s="35">
        <v>0</v>
      </c>
      <c r="I183" s="35">
        <f t="shared" si="31"/>
        <v>66990</v>
      </c>
      <c r="J183" s="36">
        <f t="shared" si="32"/>
        <v>0</v>
      </c>
      <c r="K183" s="48" t="s">
        <v>37</v>
      </c>
      <c r="L183" s="48" t="s">
        <v>37</v>
      </c>
      <c r="M183" s="38">
        <v>41455</v>
      </c>
      <c r="N183" s="48" t="s">
        <v>64</v>
      </c>
      <c r="O183" s="35">
        <v>22330</v>
      </c>
      <c r="P183" s="35">
        <v>22330</v>
      </c>
      <c r="Q183" s="35">
        <v>22330</v>
      </c>
    </row>
    <row r="184" spans="1:17" s="15" customFormat="1" ht="38.25" customHeight="1" x14ac:dyDescent="0.2">
      <c r="A184" s="43" t="s">
        <v>598</v>
      </c>
      <c r="B184" s="46" t="s">
        <v>17</v>
      </c>
      <c r="C184" s="44" t="s">
        <v>98</v>
      </c>
      <c r="D184" s="34">
        <v>4229</v>
      </c>
      <c r="E184" s="46" t="s">
        <v>661</v>
      </c>
      <c r="F184" s="35">
        <v>15000</v>
      </c>
      <c r="G184" s="40">
        <v>20000</v>
      </c>
      <c r="H184" s="35">
        <v>15000</v>
      </c>
      <c r="I184" s="35">
        <f t="shared" ref="I184:I217" si="33">G184+H184</f>
        <v>35000</v>
      </c>
      <c r="J184" s="36">
        <f t="shared" ref="J184:J217" si="34">IF(G184=0,100%,(I184-G184)/G184)</f>
        <v>0.75</v>
      </c>
      <c r="K184" s="48" t="s">
        <v>37</v>
      </c>
      <c r="L184" s="48" t="s">
        <v>37</v>
      </c>
      <c r="M184" s="38">
        <v>41243</v>
      </c>
      <c r="N184" s="48" t="s">
        <v>36</v>
      </c>
      <c r="O184" s="35">
        <v>15000</v>
      </c>
      <c r="P184" s="35"/>
      <c r="Q184" s="35"/>
    </row>
    <row r="185" spans="1:17" s="15" customFormat="1" ht="26.25" customHeight="1" x14ac:dyDescent="0.2">
      <c r="A185" s="43" t="s">
        <v>599</v>
      </c>
      <c r="B185" s="46" t="s">
        <v>80</v>
      </c>
      <c r="C185" s="44" t="s">
        <v>289</v>
      </c>
      <c r="D185" s="34">
        <v>4577</v>
      </c>
      <c r="E185" s="46" t="s">
        <v>662</v>
      </c>
      <c r="F185" s="35">
        <f>25000*2</f>
        <v>50000</v>
      </c>
      <c r="G185" s="40">
        <f>25000*2</f>
        <v>50000</v>
      </c>
      <c r="H185" s="35">
        <v>0</v>
      </c>
      <c r="I185" s="35">
        <f t="shared" si="33"/>
        <v>50000</v>
      </c>
      <c r="J185" s="36">
        <f t="shared" si="34"/>
        <v>0</v>
      </c>
      <c r="K185" s="48" t="s">
        <v>37</v>
      </c>
      <c r="L185" s="48" t="s">
        <v>37</v>
      </c>
      <c r="M185" s="38">
        <v>41455</v>
      </c>
      <c r="N185" s="48" t="s">
        <v>64</v>
      </c>
      <c r="O185" s="35">
        <v>25000</v>
      </c>
      <c r="P185" s="35">
        <v>25000</v>
      </c>
      <c r="Q185" s="35"/>
    </row>
    <row r="186" spans="1:17" s="15" customFormat="1" ht="26.25" customHeight="1" x14ac:dyDescent="0.2">
      <c r="A186" s="43" t="s">
        <v>600</v>
      </c>
      <c r="B186" s="46" t="s">
        <v>45</v>
      </c>
      <c r="C186" s="44" t="s">
        <v>51</v>
      </c>
      <c r="D186" s="34">
        <v>3662</v>
      </c>
      <c r="E186" s="46" t="s">
        <v>663</v>
      </c>
      <c r="F186" s="35">
        <f>14796*3</f>
        <v>44388</v>
      </c>
      <c r="G186" s="40">
        <f>14796*3</f>
        <v>44388</v>
      </c>
      <c r="H186" s="35">
        <v>0</v>
      </c>
      <c r="I186" s="35">
        <f t="shared" si="33"/>
        <v>44388</v>
      </c>
      <c r="J186" s="36">
        <f t="shared" si="34"/>
        <v>0</v>
      </c>
      <c r="K186" s="48" t="s">
        <v>37</v>
      </c>
      <c r="L186" s="48" t="s">
        <v>37</v>
      </c>
      <c r="M186" s="38">
        <v>41455</v>
      </c>
      <c r="N186" s="48" t="s">
        <v>64</v>
      </c>
      <c r="O186" s="35">
        <v>14796</v>
      </c>
      <c r="P186" s="35">
        <v>14796</v>
      </c>
      <c r="Q186" s="35">
        <v>14796</v>
      </c>
    </row>
    <row r="187" spans="1:17" s="15" customFormat="1" ht="26.25" customHeight="1" x14ac:dyDescent="0.2">
      <c r="A187" s="43" t="s">
        <v>601</v>
      </c>
      <c r="B187" s="46" t="s">
        <v>75</v>
      </c>
      <c r="C187" s="44" t="s">
        <v>682</v>
      </c>
      <c r="D187" s="34">
        <v>4236</v>
      </c>
      <c r="E187" s="46" t="s">
        <v>664</v>
      </c>
      <c r="F187" s="35">
        <v>18000</v>
      </c>
      <c r="G187" s="40">
        <v>18000</v>
      </c>
      <c r="H187" s="35">
        <v>0</v>
      </c>
      <c r="I187" s="35">
        <f t="shared" si="33"/>
        <v>18000</v>
      </c>
      <c r="J187" s="36">
        <f t="shared" si="34"/>
        <v>0</v>
      </c>
      <c r="K187" s="48" t="s">
        <v>37</v>
      </c>
      <c r="L187" s="48" t="s">
        <v>37</v>
      </c>
      <c r="M187" s="38">
        <v>41455</v>
      </c>
      <c r="N187" s="48"/>
      <c r="O187" s="35">
        <v>18000</v>
      </c>
      <c r="P187" s="35"/>
      <c r="Q187" s="35"/>
    </row>
    <row r="188" spans="1:17" s="15" customFormat="1" ht="26.25" customHeight="1" x14ac:dyDescent="0.2">
      <c r="A188" s="43" t="s">
        <v>602</v>
      </c>
      <c r="B188" s="46" t="s">
        <v>75</v>
      </c>
      <c r="C188" s="44" t="s">
        <v>682</v>
      </c>
      <c r="D188" s="34">
        <v>4608</v>
      </c>
      <c r="E188" s="46" t="s">
        <v>665</v>
      </c>
      <c r="F188" s="35">
        <v>22000</v>
      </c>
      <c r="G188" s="40">
        <v>22000</v>
      </c>
      <c r="H188" s="35">
        <v>0</v>
      </c>
      <c r="I188" s="35">
        <f t="shared" si="33"/>
        <v>22000</v>
      </c>
      <c r="J188" s="36">
        <f t="shared" si="34"/>
        <v>0</v>
      </c>
      <c r="K188" s="48" t="s">
        <v>37</v>
      </c>
      <c r="L188" s="48" t="s">
        <v>37</v>
      </c>
      <c r="M188" s="38">
        <v>41455</v>
      </c>
      <c r="N188" s="48"/>
      <c r="O188" s="35">
        <v>22000</v>
      </c>
      <c r="P188" s="35"/>
      <c r="Q188" s="35"/>
    </row>
    <row r="189" spans="1:17" s="15" customFormat="1" ht="26.25" customHeight="1" x14ac:dyDescent="0.2">
      <c r="A189" s="43" t="s">
        <v>603</v>
      </c>
      <c r="B189" s="46" t="s">
        <v>46</v>
      </c>
      <c r="C189" s="44" t="s">
        <v>666</v>
      </c>
      <c r="D189" s="34">
        <v>4503</v>
      </c>
      <c r="E189" s="46" t="s">
        <v>671</v>
      </c>
      <c r="F189" s="35">
        <f>50000*3</f>
        <v>150000</v>
      </c>
      <c r="G189" s="40">
        <f>50000*3</f>
        <v>150000</v>
      </c>
      <c r="H189" s="35">
        <v>0</v>
      </c>
      <c r="I189" s="35">
        <f t="shared" si="33"/>
        <v>150000</v>
      </c>
      <c r="J189" s="36">
        <f t="shared" si="34"/>
        <v>0</v>
      </c>
      <c r="K189" s="48" t="s">
        <v>37</v>
      </c>
      <c r="L189" s="48" t="s">
        <v>37</v>
      </c>
      <c r="M189" s="38">
        <v>41455</v>
      </c>
      <c r="N189" s="48" t="s">
        <v>64</v>
      </c>
      <c r="O189" s="35">
        <v>50000</v>
      </c>
      <c r="P189" s="35">
        <v>50000</v>
      </c>
      <c r="Q189" s="35">
        <v>50000</v>
      </c>
    </row>
    <row r="190" spans="1:17" s="15" customFormat="1" ht="26.25" customHeight="1" x14ac:dyDescent="0.2">
      <c r="A190" s="43" t="s">
        <v>654</v>
      </c>
      <c r="B190" s="46" t="s">
        <v>17</v>
      </c>
      <c r="C190" s="44" t="s">
        <v>667</v>
      </c>
      <c r="D190" s="34">
        <v>4412</v>
      </c>
      <c r="E190" s="46" t="s">
        <v>672</v>
      </c>
      <c r="F190" s="35">
        <f>60000*3</f>
        <v>180000</v>
      </c>
      <c r="G190" s="40">
        <f>60000*3</f>
        <v>180000</v>
      </c>
      <c r="H190" s="35">
        <v>0</v>
      </c>
      <c r="I190" s="35">
        <f>G190+H190</f>
        <v>180000</v>
      </c>
      <c r="J190" s="36">
        <f>IF(G190=0,100%,(I190-G190)/G190)</f>
        <v>0</v>
      </c>
      <c r="K190" s="48" t="s">
        <v>37</v>
      </c>
      <c r="L190" s="48" t="s">
        <v>37</v>
      </c>
      <c r="M190" s="38">
        <v>41455</v>
      </c>
      <c r="N190" s="48" t="s">
        <v>64</v>
      </c>
      <c r="O190" s="35">
        <v>60000</v>
      </c>
      <c r="P190" s="35">
        <v>60000</v>
      </c>
      <c r="Q190" s="35">
        <v>60000</v>
      </c>
    </row>
    <row r="191" spans="1:17" s="15" customFormat="1" ht="26.25" customHeight="1" x14ac:dyDescent="0.2">
      <c r="A191" s="43" t="s">
        <v>655</v>
      </c>
      <c r="B191" s="46" t="s">
        <v>17</v>
      </c>
      <c r="C191" s="44" t="s">
        <v>668</v>
      </c>
      <c r="D191" s="34">
        <v>4105</v>
      </c>
      <c r="E191" s="46" t="s">
        <v>673</v>
      </c>
      <c r="F191" s="49">
        <f>65000*3</f>
        <v>195000</v>
      </c>
      <c r="G191" s="40">
        <f>65000*3</f>
        <v>195000</v>
      </c>
      <c r="H191" s="35">
        <v>0</v>
      </c>
      <c r="I191" s="35">
        <f>G191+H191</f>
        <v>195000</v>
      </c>
      <c r="J191" s="36">
        <f>IF(G191=0,100%,(I191-G191)/G191)</f>
        <v>0</v>
      </c>
      <c r="K191" s="48" t="s">
        <v>37</v>
      </c>
      <c r="L191" s="48" t="s">
        <v>37</v>
      </c>
      <c r="M191" s="38">
        <v>41455</v>
      </c>
      <c r="N191" s="48" t="s">
        <v>64</v>
      </c>
      <c r="O191" s="35">
        <v>65000</v>
      </c>
      <c r="P191" s="35">
        <v>65000</v>
      </c>
      <c r="Q191" s="35">
        <v>65000</v>
      </c>
    </row>
    <row r="192" spans="1:17" s="15" customFormat="1" ht="26.25" customHeight="1" x14ac:dyDescent="0.2">
      <c r="A192" s="43" t="s">
        <v>656</v>
      </c>
      <c r="B192" s="46" t="s">
        <v>49</v>
      </c>
      <c r="C192" s="44" t="s">
        <v>669</v>
      </c>
      <c r="D192" s="34">
        <v>4258</v>
      </c>
      <c r="E192" s="46" t="s">
        <v>674</v>
      </c>
      <c r="F192" s="35">
        <v>90000</v>
      </c>
      <c r="G192" s="40">
        <v>88973</v>
      </c>
      <c r="H192" s="35">
        <f>90000</f>
        <v>90000</v>
      </c>
      <c r="I192" s="35">
        <f>G192+H192</f>
        <v>178973</v>
      </c>
      <c r="J192" s="36">
        <f>IF(G192=0,100%,(I192-G192)/G192)</f>
        <v>1.0115428275993841</v>
      </c>
      <c r="K192" s="48" t="s">
        <v>37</v>
      </c>
      <c r="L192" s="48" t="s">
        <v>37</v>
      </c>
      <c r="M192" s="38">
        <v>41455</v>
      </c>
      <c r="N192" s="48" t="s">
        <v>36</v>
      </c>
      <c r="O192" s="35">
        <v>90000</v>
      </c>
      <c r="P192" s="35"/>
      <c r="Q192" s="35"/>
    </row>
    <row r="193" spans="1:17" s="15" customFormat="1" ht="26.25" customHeight="1" x14ac:dyDescent="0.2">
      <c r="A193" s="43" t="s">
        <v>657</v>
      </c>
      <c r="B193" s="46" t="s">
        <v>17</v>
      </c>
      <c r="C193" s="44" t="s">
        <v>670</v>
      </c>
      <c r="D193" s="34">
        <v>4321</v>
      </c>
      <c r="E193" s="46" t="s">
        <v>675</v>
      </c>
      <c r="F193" s="35">
        <f>91256*3</f>
        <v>273768</v>
      </c>
      <c r="G193" s="40">
        <f>91256*3</f>
        <v>273768</v>
      </c>
      <c r="H193" s="35">
        <v>0</v>
      </c>
      <c r="I193" s="35">
        <f>G193+H193</f>
        <v>273768</v>
      </c>
      <c r="J193" s="36">
        <f>IF(G193=0,100%,(I193-G193)/G193)</f>
        <v>0</v>
      </c>
      <c r="K193" s="48" t="s">
        <v>37</v>
      </c>
      <c r="L193" s="48" t="s">
        <v>37</v>
      </c>
      <c r="M193" s="38">
        <v>41455</v>
      </c>
      <c r="N193" s="48" t="s">
        <v>64</v>
      </c>
      <c r="O193" s="35">
        <v>91256</v>
      </c>
      <c r="P193" s="35">
        <v>91256</v>
      </c>
      <c r="Q193" s="35">
        <v>91256</v>
      </c>
    </row>
    <row r="194" spans="1:17" s="15" customFormat="1" ht="26.25" customHeight="1" x14ac:dyDescent="0.2">
      <c r="A194" s="43" t="s">
        <v>604</v>
      </c>
      <c r="B194" s="46" t="s">
        <v>49</v>
      </c>
      <c r="C194" s="44" t="s">
        <v>22</v>
      </c>
      <c r="D194" s="34">
        <v>4468</v>
      </c>
      <c r="E194" s="46" t="s">
        <v>676</v>
      </c>
      <c r="F194" s="35">
        <v>6000</v>
      </c>
      <c r="G194" s="40">
        <v>6000</v>
      </c>
      <c r="H194" s="35">
        <v>0</v>
      </c>
      <c r="I194" s="35">
        <f t="shared" si="33"/>
        <v>6000</v>
      </c>
      <c r="J194" s="36">
        <f t="shared" si="34"/>
        <v>0</v>
      </c>
      <c r="K194" s="48" t="s">
        <v>37</v>
      </c>
      <c r="L194" s="48" t="s">
        <v>37</v>
      </c>
      <c r="M194" s="38">
        <v>41455</v>
      </c>
      <c r="N194" s="48"/>
      <c r="O194" s="35">
        <v>6000</v>
      </c>
      <c r="P194" s="35"/>
      <c r="Q194" s="35"/>
    </row>
    <row r="195" spans="1:17" s="15" customFormat="1" ht="26.25" customHeight="1" x14ac:dyDescent="0.2">
      <c r="A195" s="43" t="s">
        <v>658</v>
      </c>
      <c r="B195" s="46" t="s">
        <v>18</v>
      </c>
      <c r="C195" s="44" t="s">
        <v>680</v>
      </c>
      <c r="D195" s="34">
        <v>4640</v>
      </c>
      <c r="E195" s="46" t="s">
        <v>677</v>
      </c>
      <c r="F195" s="35">
        <v>10000</v>
      </c>
      <c r="G195" s="40">
        <v>5000</v>
      </c>
      <c r="H195" s="35">
        <v>10000</v>
      </c>
      <c r="I195" s="35">
        <f>G195+H195</f>
        <v>15000</v>
      </c>
      <c r="J195" s="36">
        <f>IF(G195=0,100%,(I195-G195)/G195)</f>
        <v>2</v>
      </c>
      <c r="K195" s="48" t="s">
        <v>37</v>
      </c>
      <c r="L195" s="48" t="s">
        <v>37</v>
      </c>
      <c r="M195" s="52" t="s">
        <v>69</v>
      </c>
      <c r="N195" s="48" t="s">
        <v>36</v>
      </c>
      <c r="O195" s="35">
        <v>10000</v>
      </c>
      <c r="P195" s="35"/>
      <c r="Q195" s="35"/>
    </row>
    <row r="196" spans="1:17" s="15" customFormat="1" ht="26.25" customHeight="1" x14ac:dyDescent="0.2">
      <c r="A196" s="43" t="s">
        <v>659</v>
      </c>
      <c r="B196" s="46" t="s">
        <v>48</v>
      </c>
      <c r="C196" s="44" t="s">
        <v>121</v>
      </c>
      <c r="D196" s="34">
        <v>4520</v>
      </c>
      <c r="E196" s="46" t="s">
        <v>678</v>
      </c>
      <c r="F196" s="35">
        <v>6181</v>
      </c>
      <c r="G196" s="40">
        <v>6181</v>
      </c>
      <c r="H196" s="35">
        <v>0</v>
      </c>
      <c r="I196" s="35">
        <f>G196+H196</f>
        <v>6181</v>
      </c>
      <c r="J196" s="36">
        <f>IF(G196=0,100%,(I196-G196)/G196)</f>
        <v>0</v>
      </c>
      <c r="K196" s="48" t="s">
        <v>37</v>
      </c>
      <c r="L196" s="48" t="s">
        <v>37</v>
      </c>
      <c r="M196" s="38">
        <v>41182</v>
      </c>
      <c r="N196" s="48"/>
      <c r="O196" s="35">
        <v>6181</v>
      </c>
      <c r="P196" s="35"/>
      <c r="Q196" s="35"/>
    </row>
    <row r="197" spans="1:17" s="15" customFormat="1" ht="26.25" customHeight="1" x14ac:dyDescent="0.2">
      <c r="A197" s="43" t="s">
        <v>660</v>
      </c>
      <c r="B197" s="46" t="s">
        <v>46</v>
      </c>
      <c r="C197" s="44" t="s">
        <v>82</v>
      </c>
      <c r="D197" s="34">
        <v>4609</v>
      </c>
      <c r="E197" s="46" t="s">
        <v>679</v>
      </c>
      <c r="F197" s="35">
        <v>14750</v>
      </c>
      <c r="G197" s="40">
        <v>14750</v>
      </c>
      <c r="H197" s="35">
        <v>0</v>
      </c>
      <c r="I197" s="35">
        <f>G197+H197</f>
        <v>14750</v>
      </c>
      <c r="J197" s="36">
        <f>IF(G197=0,100%,(I197-G197)/G197)</f>
        <v>0</v>
      </c>
      <c r="K197" s="48" t="s">
        <v>37</v>
      </c>
      <c r="L197" s="48" t="s">
        <v>37</v>
      </c>
      <c r="M197" s="38">
        <v>41523</v>
      </c>
      <c r="N197" s="48"/>
      <c r="O197" s="35">
        <v>14750</v>
      </c>
      <c r="P197" s="35"/>
      <c r="Q197" s="35"/>
    </row>
    <row r="198" spans="1:17" s="15" customFormat="1" ht="26.25" customHeight="1" x14ac:dyDescent="0.2">
      <c r="A198" s="43" t="s">
        <v>605</v>
      </c>
      <c r="B198" s="46" t="s">
        <v>39</v>
      </c>
      <c r="C198" s="44" t="s">
        <v>114</v>
      </c>
      <c r="D198" s="34">
        <v>4597</v>
      </c>
      <c r="E198" s="46" t="s">
        <v>625</v>
      </c>
      <c r="F198" s="35">
        <v>99000</v>
      </c>
      <c r="G198" s="40">
        <v>99000</v>
      </c>
      <c r="H198" s="35">
        <v>0</v>
      </c>
      <c r="I198" s="35">
        <f t="shared" si="33"/>
        <v>99000</v>
      </c>
      <c r="J198" s="36">
        <f t="shared" si="34"/>
        <v>0</v>
      </c>
      <c r="K198" s="48" t="s">
        <v>37</v>
      </c>
      <c r="L198" s="48" t="s">
        <v>37</v>
      </c>
      <c r="M198" s="38">
        <v>41455</v>
      </c>
      <c r="N198" s="48"/>
      <c r="O198" s="35">
        <v>99000</v>
      </c>
      <c r="P198" s="35"/>
      <c r="Q198" s="35"/>
    </row>
    <row r="199" spans="1:17" s="15" customFormat="1" ht="26.25" customHeight="1" x14ac:dyDescent="0.2">
      <c r="A199" s="43" t="s">
        <v>606</v>
      </c>
      <c r="B199" s="46" t="s">
        <v>39</v>
      </c>
      <c r="C199" s="44" t="s">
        <v>617</v>
      </c>
      <c r="D199" s="34">
        <v>4628</v>
      </c>
      <c r="E199" s="46" t="s">
        <v>626</v>
      </c>
      <c r="F199" s="35">
        <v>99000</v>
      </c>
      <c r="G199" s="40">
        <v>99000</v>
      </c>
      <c r="H199" s="35">
        <v>0</v>
      </c>
      <c r="I199" s="35">
        <f t="shared" si="33"/>
        <v>99000</v>
      </c>
      <c r="J199" s="36">
        <f t="shared" si="34"/>
        <v>0</v>
      </c>
      <c r="K199" s="48" t="s">
        <v>37</v>
      </c>
      <c r="L199" s="48" t="s">
        <v>37</v>
      </c>
      <c r="M199" s="38">
        <v>41455</v>
      </c>
      <c r="N199" s="48"/>
      <c r="O199" s="35">
        <v>99000</v>
      </c>
      <c r="P199" s="35"/>
      <c r="Q199" s="35"/>
    </row>
    <row r="200" spans="1:17" s="15" customFormat="1" ht="26.25" customHeight="1" x14ac:dyDescent="0.2">
      <c r="A200" s="43" t="s">
        <v>607</v>
      </c>
      <c r="B200" s="46" t="s">
        <v>39</v>
      </c>
      <c r="C200" s="44" t="s">
        <v>618</v>
      </c>
      <c r="D200" s="34">
        <v>4629</v>
      </c>
      <c r="E200" s="46" t="s">
        <v>627</v>
      </c>
      <c r="F200" s="35">
        <v>50000</v>
      </c>
      <c r="G200" s="40">
        <v>50000</v>
      </c>
      <c r="H200" s="35">
        <v>0</v>
      </c>
      <c r="I200" s="35">
        <f t="shared" si="33"/>
        <v>50000</v>
      </c>
      <c r="J200" s="36">
        <f t="shared" si="34"/>
        <v>0</v>
      </c>
      <c r="K200" s="48" t="s">
        <v>37</v>
      </c>
      <c r="L200" s="48" t="s">
        <v>37</v>
      </c>
      <c r="M200" s="38">
        <v>41455</v>
      </c>
      <c r="N200" s="48"/>
      <c r="O200" s="35">
        <v>50000</v>
      </c>
      <c r="P200" s="35"/>
      <c r="Q200" s="35"/>
    </row>
    <row r="201" spans="1:17" s="15" customFormat="1" ht="26.25" customHeight="1" x14ac:dyDescent="0.2">
      <c r="A201" s="43" t="s">
        <v>608</v>
      </c>
      <c r="B201" s="46" t="s">
        <v>39</v>
      </c>
      <c r="C201" s="44" t="s">
        <v>619</v>
      </c>
      <c r="D201" s="34">
        <v>4633</v>
      </c>
      <c r="E201" s="46" t="s">
        <v>628</v>
      </c>
      <c r="F201" s="35">
        <v>99000</v>
      </c>
      <c r="G201" s="40">
        <v>99000</v>
      </c>
      <c r="H201" s="35">
        <v>0</v>
      </c>
      <c r="I201" s="35">
        <f t="shared" si="33"/>
        <v>99000</v>
      </c>
      <c r="J201" s="36">
        <f t="shared" si="34"/>
        <v>0</v>
      </c>
      <c r="K201" s="48" t="s">
        <v>37</v>
      </c>
      <c r="L201" s="48" t="s">
        <v>37</v>
      </c>
      <c r="M201" s="38">
        <v>41455</v>
      </c>
      <c r="N201" s="48"/>
      <c r="O201" s="35">
        <v>99000</v>
      </c>
      <c r="P201" s="35"/>
      <c r="Q201" s="35"/>
    </row>
    <row r="202" spans="1:17" s="15" customFormat="1" ht="26.25" customHeight="1" x14ac:dyDescent="0.2">
      <c r="A202" s="43" t="s">
        <v>609</v>
      </c>
      <c r="B202" s="46" t="s">
        <v>39</v>
      </c>
      <c r="C202" s="44" t="s">
        <v>106</v>
      </c>
      <c r="D202" s="34">
        <v>4627</v>
      </c>
      <c r="E202" s="46" t="s">
        <v>626</v>
      </c>
      <c r="F202" s="35">
        <v>75000</v>
      </c>
      <c r="G202" s="40">
        <v>75000</v>
      </c>
      <c r="H202" s="35">
        <v>0</v>
      </c>
      <c r="I202" s="35">
        <f t="shared" si="33"/>
        <v>75000</v>
      </c>
      <c r="J202" s="36">
        <f t="shared" si="34"/>
        <v>0</v>
      </c>
      <c r="K202" s="48" t="s">
        <v>37</v>
      </c>
      <c r="L202" s="48" t="s">
        <v>37</v>
      </c>
      <c r="M202" s="38">
        <v>41455</v>
      </c>
      <c r="N202" s="48"/>
      <c r="O202" s="35">
        <v>75000</v>
      </c>
      <c r="P202" s="35"/>
      <c r="Q202" s="35"/>
    </row>
    <row r="203" spans="1:17" s="15" customFormat="1" ht="26.25" customHeight="1" x14ac:dyDescent="0.2">
      <c r="A203" s="43" t="s">
        <v>610</v>
      </c>
      <c r="B203" s="46" t="s">
        <v>18</v>
      </c>
      <c r="C203" s="44" t="s">
        <v>97</v>
      </c>
      <c r="D203" s="34">
        <v>4600</v>
      </c>
      <c r="E203" s="46" t="s">
        <v>629</v>
      </c>
      <c r="F203" s="35">
        <v>99000</v>
      </c>
      <c r="G203" s="40">
        <v>99000</v>
      </c>
      <c r="H203" s="35">
        <v>0</v>
      </c>
      <c r="I203" s="35">
        <f t="shared" si="33"/>
        <v>99000</v>
      </c>
      <c r="J203" s="36">
        <f t="shared" si="34"/>
        <v>0</v>
      </c>
      <c r="K203" s="48" t="s">
        <v>37</v>
      </c>
      <c r="L203" s="48" t="s">
        <v>37</v>
      </c>
      <c r="M203" s="52" t="s">
        <v>69</v>
      </c>
      <c r="N203" s="48"/>
      <c r="O203" s="35">
        <v>99000</v>
      </c>
      <c r="P203" s="35"/>
      <c r="Q203" s="35"/>
    </row>
    <row r="204" spans="1:17" s="15" customFormat="1" ht="26.25" customHeight="1" x14ac:dyDescent="0.2">
      <c r="A204" s="43" t="s">
        <v>611</v>
      </c>
      <c r="B204" s="46" t="s">
        <v>17</v>
      </c>
      <c r="C204" s="44" t="s">
        <v>620</v>
      </c>
      <c r="D204" s="34">
        <v>4225</v>
      </c>
      <c r="E204" s="46" t="s">
        <v>630</v>
      </c>
      <c r="F204" s="35">
        <v>55296</v>
      </c>
      <c r="G204" s="40">
        <v>55296</v>
      </c>
      <c r="H204" s="35">
        <v>0</v>
      </c>
      <c r="I204" s="35">
        <f t="shared" si="33"/>
        <v>55296</v>
      </c>
      <c r="J204" s="36">
        <f t="shared" si="34"/>
        <v>0</v>
      </c>
      <c r="K204" s="48" t="s">
        <v>37</v>
      </c>
      <c r="L204" s="48" t="s">
        <v>42</v>
      </c>
      <c r="M204" s="38">
        <v>42628</v>
      </c>
      <c r="N204" s="48"/>
      <c r="O204" s="35">
        <v>55296</v>
      </c>
      <c r="P204" s="35"/>
      <c r="Q204" s="35"/>
    </row>
    <row r="205" spans="1:17" s="15" customFormat="1" ht="26.25" customHeight="1" x14ac:dyDescent="0.2">
      <c r="A205" s="43" t="s">
        <v>612</v>
      </c>
      <c r="B205" s="46" t="s">
        <v>39</v>
      </c>
      <c r="C205" s="44" t="s">
        <v>123</v>
      </c>
      <c r="D205" s="34">
        <v>4664</v>
      </c>
      <c r="E205" s="46" t="s">
        <v>631</v>
      </c>
      <c r="F205" s="35">
        <v>99000</v>
      </c>
      <c r="G205" s="40">
        <v>99000</v>
      </c>
      <c r="H205" s="35">
        <v>0</v>
      </c>
      <c r="I205" s="35">
        <f t="shared" si="33"/>
        <v>99000</v>
      </c>
      <c r="J205" s="36">
        <f t="shared" si="34"/>
        <v>0</v>
      </c>
      <c r="K205" s="48" t="s">
        <v>37</v>
      </c>
      <c r="L205" s="48" t="s">
        <v>37</v>
      </c>
      <c r="M205" s="38">
        <v>41455</v>
      </c>
      <c r="N205" s="48"/>
      <c r="O205" s="35">
        <v>99000</v>
      </c>
      <c r="P205" s="35"/>
      <c r="Q205" s="35"/>
    </row>
    <row r="206" spans="1:17" s="15" customFormat="1" ht="26.25" customHeight="1" x14ac:dyDescent="0.2">
      <c r="A206" s="43" t="s">
        <v>613</v>
      </c>
      <c r="B206" s="46" t="s">
        <v>39</v>
      </c>
      <c r="C206" s="44" t="s">
        <v>621</v>
      </c>
      <c r="D206" s="34">
        <v>4661</v>
      </c>
      <c r="E206" s="46" t="s">
        <v>628</v>
      </c>
      <c r="F206" s="35">
        <v>99000</v>
      </c>
      <c r="G206" s="40">
        <v>99000</v>
      </c>
      <c r="H206" s="35">
        <v>0</v>
      </c>
      <c r="I206" s="35">
        <f t="shared" si="33"/>
        <v>99000</v>
      </c>
      <c r="J206" s="36">
        <f t="shared" si="34"/>
        <v>0</v>
      </c>
      <c r="K206" s="48" t="s">
        <v>37</v>
      </c>
      <c r="L206" s="48" t="s">
        <v>37</v>
      </c>
      <c r="M206" s="38">
        <v>41455</v>
      </c>
      <c r="N206" s="48"/>
      <c r="O206" s="35">
        <v>99000</v>
      </c>
      <c r="P206" s="35"/>
      <c r="Q206" s="35"/>
    </row>
    <row r="207" spans="1:17" s="15" customFormat="1" ht="26.25" customHeight="1" x14ac:dyDescent="0.2">
      <c r="A207" s="43" t="s">
        <v>614</v>
      </c>
      <c r="B207" s="46" t="s">
        <v>39</v>
      </c>
      <c r="C207" s="44" t="s">
        <v>622</v>
      </c>
      <c r="D207" s="34">
        <v>4460</v>
      </c>
      <c r="E207" s="46" t="s">
        <v>632</v>
      </c>
      <c r="F207" s="35">
        <v>99000</v>
      </c>
      <c r="G207" s="40">
        <v>99000</v>
      </c>
      <c r="H207" s="35">
        <v>0</v>
      </c>
      <c r="I207" s="35">
        <f t="shared" si="33"/>
        <v>99000</v>
      </c>
      <c r="J207" s="36">
        <f t="shared" si="34"/>
        <v>0</v>
      </c>
      <c r="K207" s="48" t="s">
        <v>37</v>
      </c>
      <c r="L207" s="48" t="s">
        <v>37</v>
      </c>
      <c r="M207" s="38">
        <v>41455</v>
      </c>
      <c r="N207" s="37"/>
      <c r="O207" s="35">
        <v>99000</v>
      </c>
      <c r="P207" s="35"/>
      <c r="Q207" s="35"/>
    </row>
    <row r="208" spans="1:17" s="15" customFormat="1" ht="26.25" customHeight="1" x14ac:dyDescent="0.2">
      <c r="A208" s="43" t="s">
        <v>615</v>
      </c>
      <c r="B208" s="46" t="s">
        <v>39</v>
      </c>
      <c r="C208" s="44" t="s">
        <v>623</v>
      </c>
      <c r="D208" s="34">
        <v>4666</v>
      </c>
      <c r="E208" s="46" t="s">
        <v>633</v>
      </c>
      <c r="F208" s="35">
        <v>99000</v>
      </c>
      <c r="G208" s="40">
        <v>99000</v>
      </c>
      <c r="H208" s="35">
        <v>0</v>
      </c>
      <c r="I208" s="35">
        <f t="shared" si="33"/>
        <v>99000</v>
      </c>
      <c r="J208" s="36">
        <f t="shared" si="34"/>
        <v>0</v>
      </c>
      <c r="K208" s="48" t="s">
        <v>37</v>
      </c>
      <c r="L208" s="48" t="s">
        <v>37</v>
      </c>
      <c r="M208" s="38">
        <v>41455</v>
      </c>
      <c r="N208" s="37"/>
      <c r="O208" s="35">
        <v>99000</v>
      </c>
      <c r="P208" s="35"/>
      <c r="Q208" s="35"/>
    </row>
    <row r="209" spans="1:17" s="15" customFormat="1" ht="26.25" customHeight="1" x14ac:dyDescent="0.2">
      <c r="A209" s="43" t="s">
        <v>616</v>
      </c>
      <c r="B209" s="46" t="s">
        <v>17</v>
      </c>
      <c r="C209" s="44" t="s">
        <v>624</v>
      </c>
      <c r="D209" s="34">
        <v>4114</v>
      </c>
      <c r="E209" s="46" t="s">
        <v>634</v>
      </c>
      <c r="F209" s="35">
        <f>50000*3</f>
        <v>150000</v>
      </c>
      <c r="G209" s="40">
        <f>50000*3</f>
        <v>150000</v>
      </c>
      <c r="H209" s="35">
        <v>0</v>
      </c>
      <c r="I209" s="35">
        <f t="shared" si="33"/>
        <v>150000</v>
      </c>
      <c r="J209" s="36">
        <f t="shared" si="34"/>
        <v>0</v>
      </c>
      <c r="K209" s="48" t="s">
        <v>37</v>
      </c>
      <c r="L209" s="48" t="s">
        <v>37</v>
      </c>
      <c r="M209" s="38">
        <v>41455</v>
      </c>
      <c r="N209" s="48" t="s">
        <v>64</v>
      </c>
      <c r="O209" s="35">
        <v>50000</v>
      </c>
      <c r="P209" s="35">
        <v>50000</v>
      </c>
      <c r="Q209" s="35">
        <v>50000</v>
      </c>
    </row>
    <row r="210" spans="1:17" s="15" customFormat="1" ht="26.25" customHeight="1" x14ac:dyDescent="0.2">
      <c r="A210" s="43" t="s">
        <v>635</v>
      </c>
      <c r="B210" s="46" t="s">
        <v>48</v>
      </c>
      <c r="C210" s="44" t="s">
        <v>642</v>
      </c>
      <c r="D210" s="34">
        <v>4655</v>
      </c>
      <c r="E210" s="46" t="s">
        <v>647</v>
      </c>
      <c r="F210" s="35">
        <v>8527</v>
      </c>
      <c r="G210" s="40">
        <v>8527</v>
      </c>
      <c r="H210" s="35">
        <v>0</v>
      </c>
      <c r="I210" s="35">
        <f t="shared" si="33"/>
        <v>8527</v>
      </c>
      <c r="J210" s="36">
        <f t="shared" si="34"/>
        <v>0</v>
      </c>
      <c r="K210" s="48" t="s">
        <v>37</v>
      </c>
      <c r="L210" s="48" t="s">
        <v>42</v>
      </c>
      <c r="M210" s="38">
        <v>41547</v>
      </c>
      <c r="N210" s="37"/>
      <c r="O210" s="35">
        <v>8527</v>
      </c>
      <c r="P210" s="35"/>
      <c r="Q210" s="35"/>
    </row>
    <row r="211" spans="1:17" s="15" customFormat="1" ht="26.25" customHeight="1" x14ac:dyDescent="0.2">
      <c r="A211" s="43" t="s">
        <v>636</v>
      </c>
      <c r="B211" s="46" t="s">
        <v>17</v>
      </c>
      <c r="C211" s="44" t="s">
        <v>643</v>
      </c>
      <c r="D211" s="34">
        <v>4663</v>
      </c>
      <c r="E211" s="46" t="s">
        <v>648</v>
      </c>
      <c r="F211" s="35">
        <f>11000*3</f>
        <v>33000</v>
      </c>
      <c r="G211" s="40">
        <f>11000*3</f>
        <v>33000</v>
      </c>
      <c r="H211" s="35">
        <v>0</v>
      </c>
      <c r="I211" s="35">
        <f t="shared" si="33"/>
        <v>33000</v>
      </c>
      <c r="J211" s="36">
        <f t="shared" si="34"/>
        <v>0</v>
      </c>
      <c r="K211" s="48" t="s">
        <v>37</v>
      </c>
      <c r="L211" s="48" t="s">
        <v>37</v>
      </c>
      <c r="M211" s="38">
        <v>41455</v>
      </c>
      <c r="N211" s="48" t="s">
        <v>64</v>
      </c>
      <c r="O211" s="35">
        <v>11000</v>
      </c>
      <c r="P211" s="35">
        <v>11000</v>
      </c>
      <c r="Q211" s="35">
        <v>11000</v>
      </c>
    </row>
    <row r="212" spans="1:17" s="15" customFormat="1" ht="26.25" customHeight="1" x14ac:dyDescent="0.2">
      <c r="A212" s="43" t="s">
        <v>637</v>
      </c>
      <c r="B212" s="46" t="s">
        <v>48</v>
      </c>
      <c r="C212" s="44" t="s">
        <v>644</v>
      </c>
      <c r="D212" s="34">
        <v>4665</v>
      </c>
      <c r="E212" s="46" t="s">
        <v>649</v>
      </c>
      <c r="F212" s="35">
        <v>15000</v>
      </c>
      <c r="G212" s="40">
        <v>15000</v>
      </c>
      <c r="H212" s="35">
        <v>0</v>
      </c>
      <c r="I212" s="35">
        <f t="shared" si="33"/>
        <v>15000</v>
      </c>
      <c r="J212" s="36">
        <f t="shared" si="34"/>
        <v>0</v>
      </c>
      <c r="K212" s="48" t="s">
        <v>37</v>
      </c>
      <c r="L212" s="48" t="s">
        <v>37</v>
      </c>
      <c r="M212" s="38">
        <v>41274</v>
      </c>
      <c r="N212" s="37"/>
      <c r="O212" s="35">
        <v>15000</v>
      </c>
      <c r="P212" s="35"/>
      <c r="Q212" s="35"/>
    </row>
    <row r="213" spans="1:17" s="15" customFormat="1" ht="26.25" customHeight="1" x14ac:dyDescent="0.2">
      <c r="A213" s="43" t="s">
        <v>638</v>
      </c>
      <c r="B213" s="46" t="s">
        <v>48</v>
      </c>
      <c r="C213" s="44" t="s">
        <v>645</v>
      </c>
      <c r="D213" s="34">
        <v>4667</v>
      </c>
      <c r="E213" s="46" t="s">
        <v>650</v>
      </c>
      <c r="F213" s="35">
        <v>20000</v>
      </c>
      <c r="G213" s="40">
        <v>20000</v>
      </c>
      <c r="H213" s="35">
        <v>0</v>
      </c>
      <c r="I213" s="35">
        <f t="shared" si="33"/>
        <v>20000</v>
      </c>
      <c r="J213" s="36">
        <f t="shared" si="34"/>
        <v>0</v>
      </c>
      <c r="K213" s="48" t="s">
        <v>37</v>
      </c>
      <c r="L213" s="48" t="s">
        <v>37</v>
      </c>
      <c r="M213" s="38">
        <v>41364</v>
      </c>
      <c r="N213" s="37"/>
      <c r="O213" s="35">
        <v>20000</v>
      </c>
      <c r="P213" s="35"/>
      <c r="Q213" s="35"/>
    </row>
    <row r="214" spans="1:17" s="15" customFormat="1" ht="18" customHeight="1" x14ac:dyDescent="0.2">
      <c r="A214" s="43" t="s">
        <v>639</v>
      </c>
      <c r="B214" s="46" t="s">
        <v>76</v>
      </c>
      <c r="C214" s="44" t="s">
        <v>78</v>
      </c>
      <c r="D214" s="34">
        <v>4669</v>
      </c>
      <c r="E214" s="46" t="s">
        <v>651</v>
      </c>
      <c r="F214" s="35">
        <f>8950*3</f>
        <v>26850</v>
      </c>
      <c r="G214" s="40">
        <f>8950*3</f>
        <v>26850</v>
      </c>
      <c r="H214" s="35">
        <v>0</v>
      </c>
      <c r="I214" s="35">
        <f t="shared" si="33"/>
        <v>26850</v>
      </c>
      <c r="J214" s="36">
        <f t="shared" si="34"/>
        <v>0</v>
      </c>
      <c r="K214" s="48" t="s">
        <v>37</v>
      </c>
      <c r="L214" s="48" t="s">
        <v>42</v>
      </c>
      <c r="M214" s="38">
        <v>41455</v>
      </c>
      <c r="N214" s="48" t="s">
        <v>64</v>
      </c>
      <c r="O214" s="35">
        <v>8950</v>
      </c>
      <c r="P214" s="35">
        <v>8950</v>
      </c>
      <c r="Q214" s="35">
        <v>8950</v>
      </c>
    </row>
    <row r="215" spans="1:17" s="15" customFormat="1" ht="26.25" customHeight="1" x14ac:dyDescent="0.2">
      <c r="A215" s="43" t="s">
        <v>640</v>
      </c>
      <c r="B215" s="46" t="s">
        <v>46</v>
      </c>
      <c r="C215" s="44" t="s">
        <v>121</v>
      </c>
      <c r="D215" s="34">
        <v>4642</v>
      </c>
      <c r="E215" s="46" t="s">
        <v>653</v>
      </c>
      <c r="F215" s="35">
        <v>21304</v>
      </c>
      <c r="G215" s="40">
        <v>21304</v>
      </c>
      <c r="H215" s="35">
        <v>0</v>
      </c>
      <c r="I215" s="35">
        <f t="shared" si="33"/>
        <v>21304</v>
      </c>
      <c r="J215" s="36">
        <f t="shared" si="34"/>
        <v>0</v>
      </c>
      <c r="K215" s="48" t="s">
        <v>37</v>
      </c>
      <c r="L215" s="48" t="s">
        <v>37</v>
      </c>
      <c r="M215" s="38">
        <v>41455</v>
      </c>
      <c r="N215" s="37"/>
      <c r="O215" s="35">
        <v>21304</v>
      </c>
      <c r="P215" s="35"/>
      <c r="Q215" s="35"/>
    </row>
    <row r="216" spans="1:17" s="15" customFormat="1" ht="18" customHeight="1" x14ac:dyDescent="0.2">
      <c r="A216" s="43" t="s">
        <v>641</v>
      </c>
      <c r="B216" s="46" t="s">
        <v>39</v>
      </c>
      <c r="C216" s="44" t="s">
        <v>646</v>
      </c>
      <c r="D216" s="34">
        <v>4683</v>
      </c>
      <c r="E216" s="46" t="s">
        <v>652</v>
      </c>
      <c r="F216" s="35">
        <v>32574</v>
      </c>
      <c r="G216" s="40">
        <v>32574</v>
      </c>
      <c r="H216" s="35">
        <v>0</v>
      </c>
      <c r="I216" s="35">
        <f t="shared" si="33"/>
        <v>32574</v>
      </c>
      <c r="J216" s="36">
        <f t="shared" si="34"/>
        <v>0</v>
      </c>
      <c r="K216" s="48" t="s">
        <v>37</v>
      </c>
      <c r="L216" s="48" t="s">
        <v>37</v>
      </c>
      <c r="M216" s="38">
        <v>41524</v>
      </c>
      <c r="N216" s="37"/>
      <c r="O216" s="35">
        <v>32574</v>
      </c>
      <c r="P216" s="35"/>
      <c r="Q216" s="35"/>
    </row>
    <row r="217" spans="1:17" s="15" customFormat="1" ht="26.25" customHeight="1" x14ac:dyDescent="0.2">
      <c r="A217" s="43" t="s">
        <v>683</v>
      </c>
      <c r="B217" s="46" t="s">
        <v>75</v>
      </c>
      <c r="C217" s="44" t="s">
        <v>688</v>
      </c>
      <c r="D217" s="34">
        <v>4679</v>
      </c>
      <c r="E217" s="46" t="s">
        <v>684</v>
      </c>
      <c r="F217" s="35">
        <v>65384</v>
      </c>
      <c r="G217" s="40">
        <v>65384</v>
      </c>
      <c r="H217" s="35">
        <v>0</v>
      </c>
      <c r="I217" s="35">
        <f t="shared" si="33"/>
        <v>65384</v>
      </c>
      <c r="J217" s="36">
        <f t="shared" si="34"/>
        <v>0</v>
      </c>
      <c r="K217" s="48" t="s">
        <v>37</v>
      </c>
      <c r="L217" s="48" t="s">
        <v>42</v>
      </c>
      <c r="M217" s="38">
        <v>41455</v>
      </c>
      <c r="N217" s="37"/>
      <c r="O217" s="35">
        <v>65384</v>
      </c>
      <c r="P217" s="35"/>
      <c r="Q217" s="35"/>
    </row>
    <row r="218" spans="1:17" s="15" customFormat="1" ht="26.25" customHeight="1" x14ac:dyDescent="0.2">
      <c r="A218" s="43" t="s">
        <v>686</v>
      </c>
      <c r="B218" s="46" t="s">
        <v>687</v>
      </c>
      <c r="C218" s="44" t="s">
        <v>689</v>
      </c>
      <c r="D218" s="34">
        <v>4369</v>
      </c>
      <c r="E218" s="46" t="s">
        <v>685</v>
      </c>
      <c r="F218" s="35">
        <f>93699+46850</f>
        <v>140549</v>
      </c>
      <c r="G218" s="40">
        <f>93699+46850</f>
        <v>140549</v>
      </c>
      <c r="H218" s="35">
        <v>0</v>
      </c>
      <c r="I218" s="35">
        <f t="shared" ref="I218:I224" si="35">G218+H218</f>
        <v>140549</v>
      </c>
      <c r="J218" s="36">
        <f t="shared" ref="J218:J224" si="36">IF(G218=0,100%,(I218-G218)/G218)</f>
        <v>0</v>
      </c>
      <c r="K218" s="48" t="s">
        <v>37</v>
      </c>
      <c r="L218" s="48" t="s">
        <v>37</v>
      </c>
      <c r="M218" s="38">
        <v>41820</v>
      </c>
      <c r="N218" s="48" t="s">
        <v>64</v>
      </c>
      <c r="O218" s="35">
        <v>93699</v>
      </c>
      <c r="P218" s="35"/>
      <c r="Q218" s="35">
        <v>46850</v>
      </c>
    </row>
    <row r="219" spans="1:17" s="15" customFormat="1" ht="26.25" customHeight="1" x14ac:dyDescent="0.2">
      <c r="A219" s="43" t="s">
        <v>690</v>
      </c>
      <c r="B219" s="46" t="s">
        <v>76</v>
      </c>
      <c r="C219" s="44" t="s">
        <v>707</v>
      </c>
      <c r="D219" s="34">
        <v>4703</v>
      </c>
      <c r="E219" s="46" t="s">
        <v>699</v>
      </c>
      <c r="F219" s="35">
        <f>42222*3</f>
        <v>126666</v>
      </c>
      <c r="G219" s="40">
        <f>42222*3</f>
        <v>126666</v>
      </c>
      <c r="H219" s="35">
        <v>0</v>
      </c>
      <c r="I219" s="35">
        <f t="shared" si="35"/>
        <v>126666</v>
      </c>
      <c r="J219" s="36">
        <f t="shared" si="36"/>
        <v>0</v>
      </c>
      <c r="K219" s="48" t="s">
        <v>37</v>
      </c>
      <c r="L219" s="48" t="s">
        <v>37</v>
      </c>
      <c r="M219" s="38">
        <v>41517</v>
      </c>
      <c r="N219" s="48" t="s">
        <v>64</v>
      </c>
      <c r="O219" s="35">
        <v>42222</v>
      </c>
      <c r="P219" s="35">
        <v>42222</v>
      </c>
      <c r="Q219" s="35">
        <v>42222</v>
      </c>
    </row>
    <row r="220" spans="1:17" s="15" customFormat="1" ht="26.25" customHeight="1" x14ac:dyDescent="0.2">
      <c r="A220" s="43" t="s">
        <v>691</v>
      </c>
      <c r="B220" s="46" t="s">
        <v>76</v>
      </c>
      <c r="C220" s="44" t="s">
        <v>708</v>
      </c>
      <c r="D220" s="34">
        <v>4711</v>
      </c>
      <c r="E220" s="46" t="s">
        <v>700</v>
      </c>
      <c r="F220" s="35">
        <f>5500*3</f>
        <v>16500</v>
      </c>
      <c r="G220" s="40">
        <f>5500*3</f>
        <v>16500</v>
      </c>
      <c r="H220" s="35">
        <v>0</v>
      </c>
      <c r="I220" s="35">
        <f t="shared" si="35"/>
        <v>16500</v>
      </c>
      <c r="J220" s="36">
        <f t="shared" si="36"/>
        <v>0</v>
      </c>
      <c r="K220" s="48" t="s">
        <v>37</v>
      </c>
      <c r="L220" s="48" t="s">
        <v>37</v>
      </c>
      <c r="M220" s="38">
        <v>41455</v>
      </c>
      <c r="N220" s="48" t="s">
        <v>64</v>
      </c>
      <c r="O220" s="35">
        <v>5500</v>
      </c>
      <c r="P220" s="35">
        <v>5500</v>
      </c>
      <c r="Q220" s="35">
        <v>5500</v>
      </c>
    </row>
    <row r="221" spans="1:17" s="15" customFormat="1" ht="26.25" customHeight="1" x14ac:dyDescent="0.2">
      <c r="A221" s="43" t="s">
        <v>692</v>
      </c>
      <c r="B221" s="46" t="s">
        <v>76</v>
      </c>
      <c r="C221" s="44" t="s">
        <v>709</v>
      </c>
      <c r="D221" s="34">
        <v>4713</v>
      </c>
      <c r="E221" s="46" t="s">
        <v>701</v>
      </c>
      <c r="F221" s="35">
        <f>7500*3</f>
        <v>22500</v>
      </c>
      <c r="G221" s="40">
        <f>7500*3</f>
        <v>22500</v>
      </c>
      <c r="H221" s="35">
        <v>0</v>
      </c>
      <c r="I221" s="35">
        <f t="shared" si="35"/>
        <v>22500</v>
      </c>
      <c r="J221" s="36">
        <f t="shared" si="36"/>
        <v>0</v>
      </c>
      <c r="K221" s="48" t="s">
        <v>37</v>
      </c>
      <c r="L221" s="48" t="s">
        <v>37</v>
      </c>
      <c r="M221" s="38">
        <v>41455</v>
      </c>
      <c r="N221" s="48" t="s">
        <v>64</v>
      </c>
      <c r="O221" s="35">
        <v>7500</v>
      </c>
      <c r="P221" s="35">
        <v>7500</v>
      </c>
      <c r="Q221" s="35">
        <v>7500</v>
      </c>
    </row>
    <row r="222" spans="1:17" s="15" customFormat="1" ht="26.25" customHeight="1" x14ac:dyDescent="0.2">
      <c r="A222" s="43" t="s">
        <v>693</v>
      </c>
      <c r="B222" s="46" t="s">
        <v>76</v>
      </c>
      <c r="C222" s="44" t="s">
        <v>710</v>
      </c>
      <c r="D222" s="34">
        <v>4717</v>
      </c>
      <c r="E222" s="46" t="s">
        <v>702</v>
      </c>
      <c r="F222" s="35">
        <f>25000*3</f>
        <v>75000</v>
      </c>
      <c r="G222" s="40">
        <f>25000*3</f>
        <v>75000</v>
      </c>
      <c r="H222" s="35">
        <v>0</v>
      </c>
      <c r="I222" s="35">
        <f t="shared" si="35"/>
        <v>75000</v>
      </c>
      <c r="J222" s="36">
        <f t="shared" si="36"/>
        <v>0</v>
      </c>
      <c r="K222" s="48" t="s">
        <v>37</v>
      </c>
      <c r="L222" s="48" t="s">
        <v>37</v>
      </c>
      <c r="M222" s="38">
        <v>41455</v>
      </c>
      <c r="N222" s="48" t="s">
        <v>64</v>
      </c>
      <c r="O222" s="35">
        <v>25000</v>
      </c>
      <c r="P222" s="35">
        <v>25000</v>
      </c>
      <c r="Q222" s="35">
        <v>25000</v>
      </c>
    </row>
    <row r="223" spans="1:17" s="15" customFormat="1" ht="26.25" customHeight="1" x14ac:dyDescent="0.2">
      <c r="A223" s="43" t="s">
        <v>694</v>
      </c>
      <c r="B223" s="46" t="s">
        <v>48</v>
      </c>
      <c r="C223" s="44" t="s">
        <v>104</v>
      </c>
      <c r="D223" s="34">
        <v>4687</v>
      </c>
      <c r="E223" s="46" t="s">
        <v>706</v>
      </c>
      <c r="F223" s="35">
        <v>27500</v>
      </c>
      <c r="G223" s="40">
        <v>27500</v>
      </c>
      <c r="H223" s="35">
        <v>0</v>
      </c>
      <c r="I223" s="35">
        <f t="shared" si="35"/>
        <v>27500</v>
      </c>
      <c r="J223" s="36">
        <f t="shared" si="36"/>
        <v>0</v>
      </c>
      <c r="K223" s="48" t="s">
        <v>37</v>
      </c>
      <c r="L223" s="48" t="s">
        <v>37</v>
      </c>
      <c r="M223" s="38">
        <v>41455</v>
      </c>
      <c r="N223" s="37"/>
      <c r="O223" s="35">
        <v>27500</v>
      </c>
      <c r="P223" s="35"/>
      <c r="Q223" s="35"/>
    </row>
    <row r="224" spans="1:17" s="15" customFormat="1" ht="26.25" customHeight="1" x14ac:dyDescent="0.2">
      <c r="A224" s="43" t="s">
        <v>695</v>
      </c>
      <c r="B224" s="46" t="s">
        <v>48</v>
      </c>
      <c r="C224" s="44" t="s">
        <v>58</v>
      </c>
      <c r="D224" s="34">
        <v>4741</v>
      </c>
      <c r="E224" s="46" t="s">
        <v>189</v>
      </c>
      <c r="F224" s="35">
        <v>20000</v>
      </c>
      <c r="G224" s="40">
        <v>49500</v>
      </c>
      <c r="H224" s="35">
        <f>12000+14000+20000+4000+20000+20000</f>
        <v>90000</v>
      </c>
      <c r="I224" s="35">
        <f t="shared" si="35"/>
        <v>139500</v>
      </c>
      <c r="J224" s="36">
        <f t="shared" si="36"/>
        <v>1.8181818181818181</v>
      </c>
      <c r="K224" s="48" t="s">
        <v>37</v>
      </c>
      <c r="L224" s="48" t="s">
        <v>37</v>
      </c>
      <c r="M224" s="38">
        <v>41455</v>
      </c>
      <c r="N224" s="48" t="s">
        <v>36</v>
      </c>
      <c r="O224" s="35">
        <v>20000</v>
      </c>
      <c r="P224" s="35"/>
      <c r="Q224" s="35"/>
    </row>
    <row r="225" spans="1:17" s="15" customFormat="1" ht="26.25" customHeight="1" x14ac:dyDescent="0.2">
      <c r="A225" s="43" t="s">
        <v>696</v>
      </c>
      <c r="B225" s="46" t="s">
        <v>48</v>
      </c>
      <c r="C225" s="44" t="s">
        <v>711</v>
      </c>
      <c r="D225" s="34">
        <v>4745</v>
      </c>
      <c r="E225" s="46" t="s">
        <v>703</v>
      </c>
      <c r="F225" s="35">
        <v>4500</v>
      </c>
      <c r="G225" s="40">
        <v>4500</v>
      </c>
      <c r="H225" s="35">
        <v>4500</v>
      </c>
      <c r="I225" s="35">
        <f t="shared" ref="I225:I240" si="37">G225+H225</f>
        <v>9000</v>
      </c>
      <c r="J225" s="36">
        <f t="shared" ref="J225:J240" si="38">IF(G225=0,100%,(I225-G225)/G225)</f>
        <v>1</v>
      </c>
      <c r="K225" s="48" t="s">
        <v>37</v>
      </c>
      <c r="L225" s="48" t="s">
        <v>37</v>
      </c>
      <c r="M225" s="38">
        <v>41274</v>
      </c>
      <c r="N225" s="48" t="s">
        <v>36</v>
      </c>
      <c r="O225" s="35">
        <v>4500</v>
      </c>
      <c r="P225" s="35"/>
      <c r="Q225" s="35"/>
    </row>
    <row r="226" spans="1:17" s="15" customFormat="1" ht="26.25" customHeight="1" x14ac:dyDescent="0.2">
      <c r="A226" s="43" t="s">
        <v>697</v>
      </c>
      <c r="B226" s="46" t="s">
        <v>18</v>
      </c>
      <c r="C226" s="44" t="s">
        <v>712</v>
      </c>
      <c r="D226" s="34">
        <v>4756</v>
      </c>
      <c r="E226" s="46" t="s">
        <v>704</v>
      </c>
      <c r="F226" s="35">
        <v>25000</v>
      </c>
      <c r="G226" s="40">
        <v>5000</v>
      </c>
      <c r="H226" s="35">
        <v>25000</v>
      </c>
      <c r="I226" s="35">
        <f t="shared" si="37"/>
        <v>30000</v>
      </c>
      <c r="J226" s="36">
        <f t="shared" si="38"/>
        <v>5</v>
      </c>
      <c r="K226" s="48" t="s">
        <v>37</v>
      </c>
      <c r="L226" s="48" t="s">
        <v>37</v>
      </c>
      <c r="M226" s="52" t="s">
        <v>69</v>
      </c>
      <c r="N226" s="48" t="s">
        <v>36</v>
      </c>
      <c r="O226" s="35">
        <v>25000</v>
      </c>
      <c r="P226" s="35"/>
      <c r="Q226" s="35"/>
    </row>
    <row r="227" spans="1:17" s="15" customFormat="1" ht="18" customHeight="1" x14ac:dyDescent="0.2">
      <c r="A227" s="43" t="s">
        <v>698</v>
      </c>
      <c r="B227" s="46" t="s">
        <v>18</v>
      </c>
      <c r="C227" s="44" t="s">
        <v>713</v>
      </c>
      <c r="D227" s="34">
        <v>4775</v>
      </c>
      <c r="E227" s="46" t="s">
        <v>705</v>
      </c>
      <c r="F227" s="35">
        <v>15000</v>
      </c>
      <c r="G227" s="40">
        <v>5000</v>
      </c>
      <c r="H227" s="35">
        <v>15000</v>
      </c>
      <c r="I227" s="35">
        <f t="shared" si="37"/>
        <v>20000</v>
      </c>
      <c r="J227" s="36">
        <f t="shared" si="38"/>
        <v>3</v>
      </c>
      <c r="K227" s="48" t="s">
        <v>37</v>
      </c>
      <c r="L227" s="48" t="s">
        <v>37</v>
      </c>
      <c r="M227" s="52" t="s">
        <v>69</v>
      </c>
      <c r="N227" s="48" t="s">
        <v>36</v>
      </c>
      <c r="O227" s="35">
        <v>15000</v>
      </c>
      <c r="P227" s="35"/>
      <c r="Q227" s="35"/>
    </row>
    <row r="228" spans="1:17" s="15" customFormat="1" ht="26.25" customHeight="1" x14ac:dyDescent="0.2">
      <c r="A228" s="43" t="s">
        <v>714</v>
      </c>
      <c r="B228" s="46" t="s">
        <v>18</v>
      </c>
      <c r="C228" s="44" t="s">
        <v>97</v>
      </c>
      <c r="D228" s="34">
        <v>4580</v>
      </c>
      <c r="E228" s="46" t="s">
        <v>723</v>
      </c>
      <c r="F228" s="35">
        <v>50000</v>
      </c>
      <c r="G228" s="40">
        <v>50000</v>
      </c>
      <c r="H228" s="35">
        <v>50000</v>
      </c>
      <c r="I228" s="35">
        <f t="shared" si="37"/>
        <v>100000</v>
      </c>
      <c r="J228" s="36">
        <f t="shared" si="38"/>
        <v>1</v>
      </c>
      <c r="K228" s="48" t="s">
        <v>37</v>
      </c>
      <c r="L228" s="48" t="s">
        <v>37</v>
      </c>
      <c r="M228" s="52" t="s">
        <v>69</v>
      </c>
      <c r="N228" s="48" t="s">
        <v>36</v>
      </c>
      <c r="O228" s="35">
        <v>50000</v>
      </c>
      <c r="P228" s="35"/>
      <c r="Q228" s="35"/>
    </row>
    <row r="229" spans="1:17" s="15" customFormat="1" ht="26.25" customHeight="1" x14ac:dyDescent="0.2">
      <c r="A229" s="43" t="s">
        <v>715</v>
      </c>
      <c r="B229" s="46" t="s">
        <v>49</v>
      </c>
      <c r="C229" s="44" t="s">
        <v>728</v>
      </c>
      <c r="D229" s="34">
        <v>4784</v>
      </c>
      <c r="E229" s="46" t="s">
        <v>724</v>
      </c>
      <c r="F229" s="35">
        <v>95000</v>
      </c>
      <c r="G229" s="40">
        <v>95000</v>
      </c>
      <c r="H229" s="35">
        <v>0</v>
      </c>
      <c r="I229" s="35">
        <f t="shared" si="37"/>
        <v>95000</v>
      </c>
      <c r="J229" s="36">
        <f t="shared" si="38"/>
        <v>0</v>
      </c>
      <c r="K229" s="48" t="s">
        <v>37</v>
      </c>
      <c r="L229" s="48" t="s">
        <v>42</v>
      </c>
      <c r="M229" s="38">
        <v>41820</v>
      </c>
      <c r="N229" s="37"/>
      <c r="O229" s="35">
        <v>95000</v>
      </c>
      <c r="P229" s="35"/>
      <c r="Q229" s="35"/>
    </row>
    <row r="230" spans="1:17" s="15" customFormat="1" ht="26.25" customHeight="1" x14ac:dyDescent="0.2">
      <c r="A230" s="43" t="s">
        <v>716</v>
      </c>
      <c r="B230" s="46" t="s">
        <v>65</v>
      </c>
      <c r="C230" s="44" t="s">
        <v>729</v>
      </c>
      <c r="D230" s="34">
        <v>4792</v>
      </c>
      <c r="E230" s="46" t="s">
        <v>725</v>
      </c>
      <c r="F230" s="35">
        <v>62910</v>
      </c>
      <c r="G230" s="40">
        <v>62910</v>
      </c>
      <c r="H230" s="35">
        <v>0</v>
      </c>
      <c r="I230" s="35">
        <f t="shared" si="37"/>
        <v>62910</v>
      </c>
      <c r="J230" s="36">
        <f t="shared" si="38"/>
        <v>0</v>
      </c>
      <c r="K230" s="48" t="s">
        <v>37</v>
      </c>
      <c r="L230" s="48" t="s">
        <v>37</v>
      </c>
      <c r="M230" s="38">
        <v>42277</v>
      </c>
      <c r="N230" s="37"/>
      <c r="O230" s="35">
        <v>62910</v>
      </c>
      <c r="P230" s="35"/>
      <c r="Q230" s="35"/>
    </row>
    <row r="231" spans="1:17" s="15" customFormat="1" ht="26.25" customHeight="1" x14ac:dyDescent="0.2">
      <c r="A231" s="43" t="s">
        <v>717</v>
      </c>
      <c r="B231" s="46" t="s">
        <v>49</v>
      </c>
      <c r="C231" s="44" t="s">
        <v>730</v>
      </c>
      <c r="D231" s="34">
        <v>4800</v>
      </c>
      <c r="E231" s="46" t="s">
        <v>726</v>
      </c>
      <c r="F231" s="35">
        <v>99600</v>
      </c>
      <c r="G231" s="40">
        <v>99600</v>
      </c>
      <c r="H231" s="35">
        <v>0</v>
      </c>
      <c r="I231" s="35">
        <f t="shared" si="37"/>
        <v>99600</v>
      </c>
      <c r="J231" s="36">
        <f t="shared" si="38"/>
        <v>0</v>
      </c>
      <c r="K231" s="48" t="s">
        <v>37</v>
      </c>
      <c r="L231" s="48" t="s">
        <v>37</v>
      </c>
      <c r="M231" s="38">
        <v>41455</v>
      </c>
      <c r="N231" s="37"/>
      <c r="O231" s="35">
        <v>99600</v>
      </c>
      <c r="P231" s="35"/>
      <c r="Q231" s="35"/>
    </row>
    <row r="232" spans="1:17" s="15" customFormat="1" ht="26.25" customHeight="1" x14ac:dyDescent="0.2">
      <c r="A232" s="43" t="s">
        <v>718</v>
      </c>
      <c r="B232" s="46" t="s">
        <v>49</v>
      </c>
      <c r="C232" s="44" t="s">
        <v>731</v>
      </c>
      <c r="D232" s="34">
        <v>4823</v>
      </c>
      <c r="E232" s="46" t="s">
        <v>724</v>
      </c>
      <c r="F232" s="35">
        <v>95000</v>
      </c>
      <c r="G232" s="40">
        <v>95000</v>
      </c>
      <c r="H232" s="35">
        <v>0</v>
      </c>
      <c r="I232" s="35">
        <f t="shared" si="37"/>
        <v>95000</v>
      </c>
      <c r="J232" s="36">
        <f t="shared" si="38"/>
        <v>0</v>
      </c>
      <c r="K232" s="48" t="s">
        <v>37</v>
      </c>
      <c r="L232" s="48" t="s">
        <v>42</v>
      </c>
      <c r="M232" s="38">
        <v>41455</v>
      </c>
      <c r="N232" s="37"/>
      <c r="O232" s="35">
        <v>95000</v>
      </c>
      <c r="P232" s="35"/>
      <c r="Q232" s="35"/>
    </row>
    <row r="233" spans="1:17" s="15" customFormat="1" ht="26.25" customHeight="1" x14ac:dyDescent="0.2">
      <c r="A233" s="43" t="s">
        <v>719</v>
      </c>
      <c r="B233" s="46" t="s">
        <v>49</v>
      </c>
      <c r="C233" s="44" t="s">
        <v>732</v>
      </c>
      <c r="D233" s="34">
        <v>4824</v>
      </c>
      <c r="E233" s="46" t="s">
        <v>724</v>
      </c>
      <c r="F233" s="35">
        <v>95000</v>
      </c>
      <c r="G233" s="40">
        <v>95000</v>
      </c>
      <c r="H233" s="35">
        <v>0</v>
      </c>
      <c r="I233" s="35">
        <f t="shared" si="37"/>
        <v>95000</v>
      </c>
      <c r="J233" s="36">
        <f t="shared" si="38"/>
        <v>0</v>
      </c>
      <c r="K233" s="48" t="s">
        <v>37</v>
      </c>
      <c r="L233" s="48" t="s">
        <v>42</v>
      </c>
      <c r="M233" s="38">
        <v>41455</v>
      </c>
      <c r="N233" s="37"/>
      <c r="O233" s="35">
        <v>95000</v>
      </c>
      <c r="P233" s="35"/>
      <c r="Q233" s="35"/>
    </row>
    <row r="234" spans="1:17" s="15" customFormat="1" ht="26.25" customHeight="1" x14ac:dyDescent="0.2">
      <c r="A234" s="43" t="s">
        <v>720</v>
      </c>
      <c r="B234" s="46" t="s">
        <v>49</v>
      </c>
      <c r="C234" s="44" t="s">
        <v>733</v>
      </c>
      <c r="D234" s="34">
        <v>4825</v>
      </c>
      <c r="E234" s="46" t="s">
        <v>724</v>
      </c>
      <c r="F234" s="35">
        <v>95000</v>
      </c>
      <c r="G234" s="40">
        <v>95000</v>
      </c>
      <c r="H234" s="35">
        <v>0</v>
      </c>
      <c r="I234" s="35">
        <f t="shared" si="37"/>
        <v>95000</v>
      </c>
      <c r="J234" s="36">
        <f t="shared" si="38"/>
        <v>0</v>
      </c>
      <c r="K234" s="48" t="s">
        <v>37</v>
      </c>
      <c r="L234" s="48" t="s">
        <v>42</v>
      </c>
      <c r="M234" s="38">
        <v>41455</v>
      </c>
      <c r="N234" s="37"/>
      <c r="O234" s="35">
        <v>95000</v>
      </c>
      <c r="P234" s="35"/>
      <c r="Q234" s="35"/>
    </row>
    <row r="235" spans="1:17" s="15" customFormat="1" ht="26.25" customHeight="1" x14ac:dyDescent="0.2">
      <c r="A235" s="43" t="s">
        <v>721</v>
      </c>
      <c r="B235" s="46" t="s">
        <v>49</v>
      </c>
      <c r="C235" s="44" t="s">
        <v>734</v>
      </c>
      <c r="D235" s="34">
        <v>4826</v>
      </c>
      <c r="E235" s="46" t="s">
        <v>724</v>
      </c>
      <c r="F235" s="35">
        <v>95000</v>
      </c>
      <c r="G235" s="40">
        <v>95000</v>
      </c>
      <c r="H235" s="35">
        <v>0</v>
      </c>
      <c r="I235" s="35">
        <f t="shared" si="37"/>
        <v>95000</v>
      </c>
      <c r="J235" s="36">
        <f t="shared" si="38"/>
        <v>0</v>
      </c>
      <c r="K235" s="48" t="s">
        <v>37</v>
      </c>
      <c r="L235" s="48" t="s">
        <v>42</v>
      </c>
      <c r="M235" s="38">
        <v>41455</v>
      </c>
      <c r="N235" s="37"/>
      <c r="O235" s="35">
        <v>95000</v>
      </c>
      <c r="P235" s="35"/>
      <c r="Q235" s="35"/>
    </row>
    <row r="236" spans="1:17" s="15" customFormat="1" ht="26.25" customHeight="1" x14ac:dyDescent="0.2">
      <c r="A236" s="43" t="s">
        <v>722</v>
      </c>
      <c r="B236" s="46" t="s">
        <v>17</v>
      </c>
      <c r="C236" s="44" t="s">
        <v>735</v>
      </c>
      <c r="D236" s="34">
        <v>4514</v>
      </c>
      <c r="E236" s="46" t="s">
        <v>727</v>
      </c>
      <c r="F236" s="35">
        <v>99484</v>
      </c>
      <c r="G236" s="40">
        <v>99484</v>
      </c>
      <c r="H236" s="35">
        <v>0</v>
      </c>
      <c r="I236" s="35">
        <f t="shared" si="37"/>
        <v>99484</v>
      </c>
      <c r="J236" s="36">
        <f t="shared" si="38"/>
        <v>0</v>
      </c>
      <c r="K236" s="48" t="s">
        <v>37</v>
      </c>
      <c r="L236" s="48" t="s">
        <v>42</v>
      </c>
      <c r="M236" s="38">
        <v>41578</v>
      </c>
      <c r="N236" s="37"/>
      <c r="O236" s="35">
        <v>99484</v>
      </c>
      <c r="P236" s="35"/>
      <c r="Q236" s="35"/>
    </row>
    <row r="237" spans="1:17" s="15" customFormat="1" ht="26.25" customHeight="1" x14ac:dyDescent="0.2">
      <c r="A237" s="43" t="s">
        <v>736</v>
      </c>
      <c r="B237" s="46" t="s">
        <v>76</v>
      </c>
      <c r="C237" s="44" t="s">
        <v>757</v>
      </c>
      <c r="D237" s="47" t="s">
        <v>41</v>
      </c>
      <c r="E237" s="46" t="s">
        <v>747</v>
      </c>
      <c r="F237" s="35">
        <v>30000</v>
      </c>
      <c r="G237" s="40">
        <v>30000</v>
      </c>
      <c r="H237" s="35">
        <v>0</v>
      </c>
      <c r="I237" s="35">
        <f t="shared" si="37"/>
        <v>30000</v>
      </c>
      <c r="J237" s="36">
        <f t="shared" si="38"/>
        <v>0</v>
      </c>
      <c r="K237" s="48" t="s">
        <v>37</v>
      </c>
      <c r="L237" s="48" t="s">
        <v>37</v>
      </c>
      <c r="M237" s="38">
        <v>41455</v>
      </c>
      <c r="N237" s="37"/>
      <c r="O237" s="35">
        <v>30000</v>
      </c>
      <c r="P237" s="35"/>
      <c r="Q237" s="35"/>
    </row>
    <row r="238" spans="1:17" s="15" customFormat="1" ht="26.25" customHeight="1" x14ac:dyDescent="0.2">
      <c r="A238" s="43" t="s">
        <v>737</v>
      </c>
      <c r="B238" s="46" t="s">
        <v>20</v>
      </c>
      <c r="C238" s="44" t="s">
        <v>103</v>
      </c>
      <c r="D238" s="34">
        <v>4461</v>
      </c>
      <c r="E238" s="46" t="s">
        <v>748</v>
      </c>
      <c r="F238" s="35">
        <v>6500</v>
      </c>
      <c r="G238" s="40">
        <v>6500</v>
      </c>
      <c r="H238" s="35">
        <v>0</v>
      </c>
      <c r="I238" s="35">
        <f t="shared" si="37"/>
        <v>6500</v>
      </c>
      <c r="J238" s="36">
        <f t="shared" si="38"/>
        <v>0</v>
      </c>
      <c r="K238" s="48" t="s">
        <v>37</v>
      </c>
      <c r="L238" s="48" t="s">
        <v>37</v>
      </c>
      <c r="M238" s="38">
        <v>41455</v>
      </c>
      <c r="N238" s="37"/>
      <c r="O238" s="35">
        <v>6500</v>
      </c>
      <c r="P238" s="35"/>
      <c r="Q238" s="35"/>
    </row>
    <row r="239" spans="1:17" s="15" customFormat="1" ht="26.25" customHeight="1" x14ac:dyDescent="0.2">
      <c r="A239" s="43" t="s">
        <v>738</v>
      </c>
      <c r="B239" s="46" t="s">
        <v>18</v>
      </c>
      <c r="C239" s="44" t="s">
        <v>97</v>
      </c>
      <c r="D239" s="34">
        <v>4625</v>
      </c>
      <c r="E239" s="46" t="s">
        <v>749</v>
      </c>
      <c r="F239" s="35">
        <v>10000</v>
      </c>
      <c r="G239" s="40">
        <v>5000</v>
      </c>
      <c r="H239" s="35">
        <v>10000</v>
      </c>
      <c r="I239" s="35">
        <f t="shared" si="37"/>
        <v>15000</v>
      </c>
      <c r="J239" s="36">
        <f t="shared" si="38"/>
        <v>2</v>
      </c>
      <c r="K239" s="48" t="s">
        <v>37</v>
      </c>
      <c r="L239" s="48" t="s">
        <v>37</v>
      </c>
      <c r="M239" s="52" t="s">
        <v>69</v>
      </c>
      <c r="N239" s="48" t="s">
        <v>36</v>
      </c>
      <c r="O239" s="35">
        <v>10000</v>
      </c>
      <c r="P239" s="35"/>
      <c r="Q239" s="35"/>
    </row>
    <row r="240" spans="1:17" s="15" customFormat="1" ht="26.25" customHeight="1" x14ac:dyDescent="0.2">
      <c r="A240" s="43" t="s">
        <v>739</v>
      </c>
      <c r="B240" s="46" t="s">
        <v>75</v>
      </c>
      <c r="C240" s="44" t="s">
        <v>688</v>
      </c>
      <c r="D240" s="34">
        <v>4681</v>
      </c>
      <c r="E240" s="46" t="s">
        <v>750</v>
      </c>
      <c r="F240" s="35">
        <v>15000</v>
      </c>
      <c r="G240" s="40">
        <v>15000</v>
      </c>
      <c r="H240" s="35">
        <v>0</v>
      </c>
      <c r="I240" s="35">
        <f t="shared" si="37"/>
        <v>15000</v>
      </c>
      <c r="J240" s="36">
        <f t="shared" si="38"/>
        <v>0</v>
      </c>
      <c r="K240" s="48" t="s">
        <v>37</v>
      </c>
      <c r="L240" s="48" t="s">
        <v>42</v>
      </c>
      <c r="M240" s="38">
        <v>41455</v>
      </c>
      <c r="N240" s="37"/>
      <c r="O240" s="35">
        <v>15000</v>
      </c>
      <c r="P240" s="35"/>
      <c r="Q240" s="35"/>
    </row>
    <row r="241" spans="1:17" s="15" customFormat="1" ht="26.25" customHeight="1" x14ac:dyDescent="0.2">
      <c r="A241" s="43" t="s">
        <v>740</v>
      </c>
      <c r="B241" s="46" t="s">
        <v>17</v>
      </c>
      <c r="C241" s="44" t="s">
        <v>758</v>
      </c>
      <c r="D241" s="34">
        <v>4693</v>
      </c>
      <c r="E241" s="46" t="s">
        <v>751</v>
      </c>
      <c r="F241" s="35">
        <f>10000*3</f>
        <v>30000</v>
      </c>
      <c r="G241" s="40">
        <f>10000*3</f>
        <v>30000</v>
      </c>
      <c r="H241" s="35">
        <v>0</v>
      </c>
      <c r="I241" s="35">
        <f t="shared" ref="I241:I270" si="39">G241+H241</f>
        <v>30000</v>
      </c>
      <c r="J241" s="36">
        <f t="shared" ref="J241:J270" si="40">IF(G241=0,100%,(I241-G241)/G241)</f>
        <v>0</v>
      </c>
      <c r="K241" s="48" t="s">
        <v>37</v>
      </c>
      <c r="L241" s="48" t="s">
        <v>37</v>
      </c>
      <c r="M241" s="38">
        <v>41455</v>
      </c>
      <c r="N241" s="48" t="s">
        <v>64</v>
      </c>
      <c r="O241" s="35">
        <v>10000</v>
      </c>
      <c r="P241" s="35">
        <v>10000</v>
      </c>
      <c r="Q241" s="35">
        <v>10000</v>
      </c>
    </row>
    <row r="242" spans="1:17" s="15" customFormat="1" ht="26.25" customHeight="1" x14ac:dyDescent="0.2">
      <c r="A242" s="43" t="s">
        <v>741</v>
      </c>
      <c r="B242" s="46" t="s">
        <v>39</v>
      </c>
      <c r="C242" s="44" t="s">
        <v>759</v>
      </c>
      <c r="D242" s="34">
        <v>4779</v>
      </c>
      <c r="E242" s="46" t="s">
        <v>752</v>
      </c>
      <c r="F242" s="35">
        <v>14420</v>
      </c>
      <c r="G242" s="40">
        <v>14420</v>
      </c>
      <c r="H242" s="35">
        <v>0</v>
      </c>
      <c r="I242" s="35">
        <f t="shared" si="39"/>
        <v>14420</v>
      </c>
      <c r="J242" s="36">
        <f t="shared" si="40"/>
        <v>0</v>
      </c>
      <c r="K242" s="48" t="s">
        <v>37</v>
      </c>
      <c r="L242" s="48" t="s">
        <v>42</v>
      </c>
      <c r="M242" s="38">
        <v>41455</v>
      </c>
      <c r="N242" s="37"/>
      <c r="O242" s="35">
        <v>14420</v>
      </c>
      <c r="P242" s="35"/>
      <c r="Q242" s="35"/>
    </row>
    <row r="243" spans="1:17" s="15" customFormat="1" ht="26.25" customHeight="1" x14ac:dyDescent="0.2">
      <c r="A243" s="43" t="s">
        <v>742</v>
      </c>
      <c r="B243" s="46" t="s">
        <v>39</v>
      </c>
      <c r="C243" s="44" t="s">
        <v>760</v>
      </c>
      <c r="D243" s="34">
        <v>4880</v>
      </c>
      <c r="E243" s="46" t="s">
        <v>753</v>
      </c>
      <c r="F243" s="35">
        <f>15000*3</f>
        <v>45000</v>
      </c>
      <c r="G243" s="40">
        <f>15000*3</f>
        <v>45000</v>
      </c>
      <c r="H243" s="35">
        <v>0</v>
      </c>
      <c r="I243" s="35">
        <f t="shared" si="39"/>
        <v>45000</v>
      </c>
      <c r="J243" s="36">
        <f t="shared" si="40"/>
        <v>0</v>
      </c>
      <c r="K243" s="48" t="s">
        <v>37</v>
      </c>
      <c r="L243" s="48" t="s">
        <v>37</v>
      </c>
      <c r="M243" s="38">
        <v>41455</v>
      </c>
      <c r="N243" s="48" t="s">
        <v>64</v>
      </c>
      <c r="O243" s="35">
        <v>15000</v>
      </c>
      <c r="P243" s="35">
        <v>15000</v>
      </c>
      <c r="Q243" s="35">
        <v>15000</v>
      </c>
    </row>
    <row r="244" spans="1:17" s="15" customFormat="1" ht="26.25" customHeight="1" x14ac:dyDescent="0.2">
      <c r="A244" s="43" t="s">
        <v>743</v>
      </c>
      <c r="B244" s="46" t="s">
        <v>76</v>
      </c>
      <c r="C244" s="44" t="s">
        <v>761</v>
      </c>
      <c r="D244" s="34">
        <v>4875</v>
      </c>
      <c r="E244" s="46" t="s">
        <v>754</v>
      </c>
      <c r="F244" s="35">
        <f>10000*3</f>
        <v>30000</v>
      </c>
      <c r="G244" s="40">
        <f>10000*3</f>
        <v>30000</v>
      </c>
      <c r="H244" s="35">
        <v>0</v>
      </c>
      <c r="I244" s="35">
        <f t="shared" si="39"/>
        <v>30000</v>
      </c>
      <c r="J244" s="36">
        <f t="shared" si="40"/>
        <v>0</v>
      </c>
      <c r="K244" s="48" t="s">
        <v>37</v>
      </c>
      <c r="L244" s="48" t="s">
        <v>37</v>
      </c>
      <c r="M244" s="38">
        <v>41455</v>
      </c>
      <c r="N244" s="48" t="s">
        <v>64</v>
      </c>
      <c r="O244" s="35">
        <v>10000</v>
      </c>
      <c r="P244" s="35">
        <v>10000</v>
      </c>
      <c r="Q244" s="35">
        <v>10000</v>
      </c>
    </row>
    <row r="245" spans="1:17" s="15" customFormat="1" ht="26.25" customHeight="1" x14ac:dyDescent="0.2">
      <c r="A245" s="43" t="s">
        <v>744</v>
      </c>
      <c r="B245" s="46" t="s">
        <v>39</v>
      </c>
      <c r="C245" s="44" t="s">
        <v>762</v>
      </c>
      <c r="D245" s="34">
        <v>4885</v>
      </c>
      <c r="E245" s="46" t="s">
        <v>756</v>
      </c>
      <c r="F245" s="35">
        <f>6100*3</f>
        <v>18300</v>
      </c>
      <c r="G245" s="40">
        <f>6100*3</f>
        <v>18300</v>
      </c>
      <c r="H245" s="35">
        <v>0</v>
      </c>
      <c r="I245" s="35">
        <f t="shared" si="39"/>
        <v>18300</v>
      </c>
      <c r="J245" s="36">
        <f t="shared" si="40"/>
        <v>0</v>
      </c>
      <c r="K245" s="48" t="s">
        <v>37</v>
      </c>
      <c r="L245" s="48" t="s">
        <v>37</v>
      </c>
      <c r="M245" s="38">
        <v>41547</v>
      </c>
      <c r="N245" s="48" t="s">
        <v>64</v>
      </c>
      <c r="O245" s="35">
        <v>6100</v>
      </c>
      <c r="P245" s="35">
        <v>6100</v>
      </c>
      <c r="Q245" s="35">
        <v>6100</v>
      </c>
    </row>
    <row r="246" spans="1:17" s="15" customFormat="1" ht="26.25" customHeight="1" x14ac:dyDescent="0.2">
      <c r="A246" s="43" t="s">
        <v>745</v>
      </c>
      <c r="B246" s="46" t="s">
        <v>46</v>
      </c>
      <c r="C246" s="44" t="s">
        <v>83</v>
      </c>
      <c r="D246" s="34">
        <v>4887</v>
      </c>
      <c r="E246" s="46" t="s">
        <v>238</v>
      </c>
      <c r="F246" s="35">
        <v>9355</v>
      </c>
      <c r="G246" s="40">
        <v>9355</v>
      </c>
      <c r="H246" s="35">
        <v>0</v>
      </c>
      <c r="I246" s="35">
        <f t="shared" si="39"/>
        <v>9355</v>
      </c>
      <c r="J246" s="36">
        <f t="shared" si="40"/>
        <v>0</v>
      </c>
      <c r="K246" s="48" t="s">
        <v>37</v>
      </c>
      <c r="L246" s="48" t="s">
        <v>42</v>
      </c>
      <c r="M246" s="38">
        <v>41455</v>
      </c>
      <c r="N246" s="37"/>
      <c r="O246" s="35">
        <v>9355</v>
      </c>
      <c r="P246" s="35"/>
      <c r="Q246" s="35"/>
    </row>
    <row r="247" spans="1:17" s="15" customFormat="1" ht="26.25" customHeight="1" x14ac:dyDescent="0.2">
      <c r="A247" s="43" t="s">
        <v>746</v>
      </c>
      <c r="B247" s="46" t="s">
        <v>39</v>
      </c>
      <c r="C247" s="44" t="s">
        <v>763</v>
      </c>
      <c r="D247" s="34">
        <v>4910</v>
      </c>
      <c r="E247" s="46" t="s">
        <v>755</v>
      </c>
      <c r="F247" s="35">
        <f>6281+8000+8000</f>
        <v>22281</v>
      </c>
      <c r="G247" s="40">
        <f>6281+8000+8000</f>
        <v>22281</v>
      </c>
      <c r="H247" s="35">
        <v>0</v>
      </c>
      <c r="I247" s="35">
        <f t="shared" si="39"/>
        <v>22281</v>
      </c>
      <c r="J247" s="36">
        <f t="shared" si="40"/>
        <v>0</v>
      </c>
      <c r="K247" s="48" t="s">
        <v>37</v>
      </c>
      <c r="L247" s="48" t="s">
        <v>37</v>
      </c>
      <c r="M247" s="38">
        <v>41578</v>
      </c>
      <c r="N247" s="48" t="s">
        <v>64</v>
      </c>
      <c r="O247" s="35">
        <v>6281</v>
      </c>
      <c r="P247" s="35">
        <v>8000</v>
      </c>
      <c r="Q247" s="35">
        <v>8000</v>
      </c>
    </row>
    <row r="248" spans="1:17" s="15" customFormat="1" ht="26.25" customHeight="1" x14ac:dyDescent="0.2">
      <c r="A248" s="43" t="s">
        <v>764</v>
      </c>
      <c r="B248" s="46" t="s">
        <v>47</v>
      </c>
      <c r="C248" s="44" t="s">
        <v>791</v>
      </c>
      <c r="D248" s="34">
        <v>4517</v>
      </c>
      <c r="E248" s="46" t="s">
        <v>778</v>
      </c>
      <c r="F248" s="35">
        <f>80000*3</f>
        <v>240000</v>
      </c>
      <c r="G248" s="40">
        <f>80000*3</f>
        <v>240000</v>
      </c>
      <c r="H248" s="35">
        <v>0</v>
      </c>
      <c r="I248" s="35">
        <f t="shared" si="39"/>
        <v>240000</v>
      </c>
      <c r="J248" s="36">
        <f t="shared" si="40"/>
        <v>0</v>
      </c>
      <c r="K248" s="48" t="s">
        <v>37</v>
      </c>
      <c r="L248" s="48" t="s">
        <v>37</v>
      </c>
      <c r="M248" s="38">
        <v>41608</v>
      </c>
      <c r="N248" s="48" t="s">
        <v>64</v>
      </c>
      <c r="O248" s="35">
        <v>80000</v>
      </c>
      <c r="P248" s="35">
        <v>80000</v>
      </c>
      <c r="Q248" s="35">
        <v>80000</v>
      </c>
    </row>
    <row r="249" spans="1:17" s="15" customFormat="1" ht="26.25" customHeight="1" x14ac:dyDescent="0.2">
      <c r="A249" s="43" t="s">
        <v>765</v>
      </c>
      <c r="B249" s="46" t="s">
        <v>39</v>
      </c>
      <c r="C249" s="44" t="s">
        <v>123</v>
      </c>
      <c r="D249" s="34">
        <v>4874</v>
      </c>
      <c r="E249" s="46" t="s">
        <v>779</v>
      </c>
      <c r="F249" s="35">
        <v>50000</v>
      </c>
      <c r="G249" s="40">
        <v>50000</v>
      </c>
      <c r="H249" s="35">
        <v>0</v>
      </c>
      <c r="I249" s="35">
        <f t="shared" si="39"/>
        <v>50000</v>
      </c>
      <c r="J249" s="36">
        <f t="shared" si="40"/>
        <v>0</v>
      </c>
      <c r="K249" s="48" t="s">
        <v>37</v>
      </c>
      <c r="L249" s="48" t="s">
        <v>37</v>
      </c>
      <c r="M249" s="38">
        <v>41455</v>
      </c>
      <c r="N249" s="37"/>
      <c r="O249" s="35">
        <v>50000</v>
      </c>
      <c r="P249" s="35"/>
      <c r="Q249" s="35"/>
    </row>
    <row r="250" spans="1:17" s="15" customFormat="1" ht="38.25" customHeight="1" x14ac:dyDescent="0.2">
      <c r="A250" s="43" t="s">
        <v>766</v>
      </c>
      <c r="B250" s="46" t="s">
        <v>26</v>
      </c>
      <c r="C250" s="44" t="s">
        <v>792</v>
      </c>
      <c r="D250" s="47" t="s">
        <v>41</v>
      </c>
      <c r="E250" s="46" t="s">
        <v>780</v>
      </c>
      <c r="F250" s="35">
        <v>99000</v>
      </c>
      <c r="G250" s="40">
        <v>99000</v>
      </c>
      <c r="H250" s="35">
        <v>0</v>
      </c>
      <c r="I250" s="35">
        <f t="shared" si="39"/>
        <v>99000</v>
      </c>
      <c r="J250" s="36">
        <f t="shared" si="40"/>
        <v>0</v>
      </c>
      <c r="K250" s="48" t="s">
        <v>37</v>
      </c>
      <c r="L250" s="48" t="s">
        <v>37</v>
      </c>
      <c r="M250" s="38">
        <v>41455</v>
      </c>
      <c r="N250" s="37"/>
      <c r="O250" s="35">
        <v>99000</v>
      </c>
      <c r="P250" s="35"/>
      <c r="Q250" s="35"/>
    </row>
    <row r="251" spans="1:17" s="15" customFormat="1" ht="18" customHeight="1" x14ac:dyDescent="0.2">
      <c r="A251" s="43" t="s">
        <v>767</v>
      </c>
      <c r="B251" s="46" t="s">
        <v>19</v>
      </c>
      <c r="C251" s="44" t="s">
        <v>793</v>
      </c>
      <c r="D251" s="34">
        <v>5017</v>
      </c>
      <c r="E251" s="46" t="s">
        <v>781</v>
      </c>
      <c r="F251" s="35">
        <v>77000</v>
      </c>
      <c r="G251" s="40">
        <v>35700</v>
      </c>
      <c r="H251" s="35">
        <f>9300+77000</f>
        <v>86300</v>
      </c>
      <c r="I251" s="35">
        <f t="shared" si="39"/>
        <v>122000</v>
      </c>
      <c r="J251" s="36">
        <f t="shared" si="40"/>
        <v>2.4173669467787113</v>
      </c>
      <c r="K251" s="48" t="s">
        <v>37</v>
      </c>
      <c r="L251" s="48" t="s">
        <v>42</v>
      </c>
      <c r="M251" s="38">
        <v>42308</v>
      </c>
      <c r="N251" s="48" t="s">
        <v>36</v>
      </c>
      <c r="O251" s="35">
        <v>77000</v>
      </c>
      <c r="P251" s="35"/>
      <c r="Q251" s="35"/>
    </row>
    <row r="252" spans="1:17" s="15" customFormat="1" ht="26.25" customHeight="1" x14ac:dyDescent="0.2">
      <c r="A252" s="43" t="s">
        <v>768</v>
      </c>
      <c r="B252" s="46" t="s">
        <v>21</v>
      </c>
      <c r="C252" s="44" t="s">
        <v>107</v>
      </c>
      <c r="D252" s="34">
        <v>4967</v>
      </c>
      <c r="E252" s="46" t="s">
        <v>477</v>
      </c>
      <c r="F252" s="35">
        <v>30000</v>
      </c>
      <c r="G252" s="40">
        <v>72000</v>
      </c>
      <c r="H252" s="35">
        <f>27500+34500+30000</f>
        <v>92000</v>
      </c>
      <c r="I252" s="35">
        <f t="shared" si="39"/>
        <v>164000</v>
      </c>
      <c r="J252" s="36">
        <f t="shared" si="40"/>
        <v>1.2777777777777777</v>
      </c>
      <c r="K252" s="48" t="s">
        <v>37</v>
      </c>
      <c r="L252" s="48" t="s">
        <v>37</v>
      </c>
      <c r="M252" s="38">
        <v>41274</v>
      </c>
      <c r="N252" s="48" t="s">
        <v>36</v>
      </c>
      <c r="O252" s="35">
        <v>30000</v>
      </c>
      <c r="P252" s="35"/>
      <c r="Q252" s="35"/>
    </row>
    <row r="253" spans="1:17" s="15" customFormat="1" ht="26.25" customHeight="1" x14ac:dyDescent="0.2">
      <c r="A253" s="43" t="s">
        <v>769</v>
      </c>
      <c r="B253" s="46" t="s">
        <v>17</v>
      </c>
      <c r="C253" s="44" t="s">
        <v>794</v>
      </c>
      <c r="D253" s="34">
        <v>4945</v>
      </c>
      <c r="E253" s="46" t="s">
        <v>789</v>
      </c>
      <c r="F253" s="35">
        <f>95000*3</f>
        <v>285000</v>
      </c>
      <c r="G253" s="40">
        <f>95000*3</f>
        <v>285000</v>
      </c>
      <c r="H253" s="35">
        <v>0</v>
      </c>
      <c r="I253" s="35">
        <f t="shared" si="39"/>
        <v>285000</v>
      </c>
      <c r="J253" s="36">
        <f t="shared" si="40"/>
        <v>0</v>
      </c>
      <c r="K253" s="48" t="s">
        <v>37</v>
      </c>
      <c r="L253" s="48" t="s">
        <v>37</v>
      </c>
      <c r="M253" s="38">
        <v>41455</v>
      </c>
      <c r="N253" s="48" t="s">
        <v>64</v>
      </c>
      <c r="O253" s="35">
        <v>95000</v>
      </c>
      <c r="P253" s="35">
        <v>95000</v>
      </c>
      <c r="Q253" s="35">
        <v>95000</v>
      </c>
    </row>
    <row r="254" spans="1:17" s="15" customFormat="1" ht="26.25" customHeight="1" x14ac:dyDescent="0.2">
      <c r="A254" s="43" t="s">
        <v>770</v>
      </c>
      <c r="B254" s="46" t="s">
        <v>17</v>
      </c>
      <c r="C254" s="44" t="s">
        <v>795</v>
      </c>
      <c r="D254" s="34">
        <v>4332</v>
      </c>
      <c r="E254" s="46" t="s">
        <v>782</v>
      </c>
      <c r="F254" s="35">
        <f>50000*3</f>
        <v>150000</v>
      </c>
      <c r="G254" s="40">
        <f>50000*3</f>
        <v>150000</v>
      </c>
      <c r="H254" s="35">
        <v>0</v>
      </c>
      <c r="I254" s="35">
        <f t="shared" si="39"/>
        <v>150000</v>
      </c>
      <c r="J254" s="36">
        <f t="shared" si="40"/>
        <v>0</v>
      </c>
      <c r="K254" s="48" t="s">
        <v>37</v>
      </c>
      <c r="L254" s="48" t="s">
        <v>37</v>
      </c>
      <c r="M254" s="38">
        <v>41455</v>
      </c>
      <c r="N254" s="48" t="s">
        <v>64</v>
      </c>
      <c r="O254" s="35">
        <v>50000</v>
      </c>
      <c r="P254" s="35">
        <v>50000</v>
      </c>
      <c r="Q254" s="35">
        <v>50000</v>
      </c>
    </row>
    <row r="255" spans="1:17" s="15" customFormat="1" ht="26.25" customHeight="1" x14ac:dyDescent="0.2">
      <c r="A255" s="43" t="s">
        <v>771</v>
      </c>
      <c r="B255" s="46" t="s">
        <v>17</v>
      </c>
      <c r="C255" s="44" t="s">
        <v>796</v>
      </c>
      <c r="D255" s="34">
        <v>4413</v>
      </c>
      <c r="E255" s="46" t="s">
        <v>783</v>
      </c>
      <c r="F255" s="35">
        <f>77000*3</f>
        <v>231000</v>
      </c>
      <c r="G255" s="40">
        <f>77000*3</f>
        <v>231000</v>
      </c>
      <c r="H255" s="35">
        <v>0</v>
      </c>
      <c r="I255" s="35">
        <f t="shared" si="39"/>
        <v>231000</v>
      </c>
      <c r="J255" s="36">
        <f t="shared" si="40"/>
        <v>0</v>
      </c>
      <c r="K255" s="48" t="s">
        <v>37</v>
      </c>
      <c r="L255" s="48" t="s">
        <v>37</v>
      </c>
      <c r="M255" s="38">
        <v>41455</v>
      </c>
      <c r="N255" s="48" t="s">
        <v>64</v>
      </c>
      <c r="O255" s="35">
        <v>77000</v>
      </c>
      <c r="P255" s="35">
        <v>77000</v>
      </c>
      <c r="Q255" s="35">
        <v>77000</v>
      </c>
    </row>
    <row r="256" spans="1:17" s="15" customFormat="1" ht="26.25" customHeight="1" x14ac:dyDescent="0.2">
      <c r="A256" s="43" t="s">
        <v>772</v>
      </c>
      <c r="B256" s="46" t="s">
        <v>17</v>
      </c>
      <c r="C256" s="44" t="s">
        <v>797</v>
      </c>
      <c r="D256" s="34">
        <v>4832</v>
      </c>
      <c r="E256" s="46" t="s">
        <v>784</v>
      </c>
      <c r="F256" s="35">
        <v>32000</v>
      </c>
      <c r="G256" s="40">
        <v>32000</v>
      </c>
      <c r="H256" s="35">
        <v>32000</v>
      </c>
      <c r="I256" s="35">
        <f t="shared" si="39"/>
        <v>64000</v>
      </c>
      <c r="J256" s="36">
        <f t="shared" si="40"/>
        <v>1</v>
      </c>
      <c r="K256" s="48" t="s">
        <v>37</v>
      </c>
      <c r="L256" s="48" t="s">
        <v>37</v>
      </c>
      <c r="M256" s="38">
        <v>41455</v>
      </c>
      <c r="N256" s="48" t="s">
        <v>36</v>
      </c>
      <c r="O256" s="35">
        <v>32000</v>
      </c>
      <c r="P256" s="35"/>
      <c r="Q256" s="35"/>
    </row>
    <row r="257" spans="1:17" s="15" customFormat="1" ht="26.25" customHeight="1" x14ac:dyDescent="0.2">
      <c r="A257" s="43" t="s">
        <v>773</v>
      </c>
      <c r="B257" s="46" t="s">
        <v>26</v>
      </c>
      <c r="C257" s="44" t="s">
        <v>798</v>
      </c>
      <c r="D257" s="47" t="s">
        <v>41</v>
      </c>
      <c r="E257" s="46" t="s">
        <v>785</v>
      </c>
      <c r="F257" s="35">
        <v>99000</v>
      </c>
      <c r="G257" s="40">
        <v>99000</v>
      </c>
      <c r="H257" s="35">
        <v>0</v>
      </c>
      <c r="I257" s="35">
        <f t="shared" si="39"/>
        <v>99000</v>
      </c>
      <c r="J257" s="36">
        <f t="shared" si="40"/>
        <v>0</v>
      </c>
      <c r="K257" s="48" t="s">
        <v>37</v>
      </c>
      <c r="L257" s="48" t="s">
        <v>37</v>
      </c>
      <c r="M257" s="38">
        <v>41455</v>
      </c>
      <c r="N257" s="37"/>
      <c r="O257" s="35">
        <v>99000</v>
      </c>
      <c r="P257" s="35"/>
      <c r="Q257" s="35"/>
    </row>
    <row r="258" spans="1:17" s="15" customFormat="1" ht="26.25" customHeight="1" x14ac:dyDescent="0.2">
      <c r="A258" s="43" t="s">
        <v>774</v>
      </c>
      <c r="B258" s="46" t="s">
        <v>17</v>
      </c>
      <c r="C258" s="44" t="s">
        <v>799</v>
      </c>
      <c r="D258" s="34">
        <v>4166</v>
      </c>
      <c r="E258" s="46" t="s">
        <v>786</v>
      </c>
      <c r="F258" s="35">
        <f>55000*3</f>
        <v>165000</v>
      </c>
      <c r="G258" s="40">
        <f>50000*3</f>
        <v>150000</v>
      </c>
      <c r="H258" s="35">
        <v>0</v>
      </c>
      <c r="I258" s="35">
        <f t="shared" si="39"/>
        <v>150000</v>
      </c>
      <c r="J258" s="36">
        <f t="shared" si="40"/>
        <v>0</v>
      </c>
      <c r="K258" s="48" t="s">
        <v>37</v>
      </c>
      <c r="L258" s="48" t="s">
        <v>37</v>
      </c>
      <c r="M258" s="38">
        <v>41455</v>
      </c>
      <c r="N258" s="48" t="s">
        <v>64</v>
      </c>
      <c r="O258" s="35">
        <v>55000</v>
      </c>
      <c r="P258" s="35">
        <v>55000</v>
      </c>
      <c r="Q258" s="35">
        <v>55000</v>
      </c>
    </row>
    <row r="259" spans="1:17" s="15" customFormat="1" ht="26.25" customHeight="1" x14ac:dyDescent="0.2">
      <c r="A259" s="43" t="s">
        <v>775</v>
      </c>
      <c r="B259" s="46" t="s">
        <v>790</v>
      </c>
      <c r="C259" s="44" t="s">
        <v>800</v>
      </c>
      <c r="D259" s="34">
        <v>4878</v>
      </c>
      <c r="E259" s="46" t="s">
        <v>787</v>
      </c>
      <c r="F259" s="35">
        <v>73960</v>
      </c>
      <c r="G259" s="40">
        <v>73960</v>
      </c>
      <c r="H259" s="35">
        <v>0</v>
      </c>
      <c r="I259" s="35">
        <f t="shared" si="39"/>
        <v>73960</v>
      </c>
      <c r="J259" s="36">
        <f t="shared" si="40"/>
        <v>0</v>
      </c>
      <c r="K259" s="48" t="s">
        <v>37</v>
      </c>
      <c r="L259" s="48" t="s">
        <v>37</v>
      </c>
      <c r="M259" s="38">
        <v>42674</v>
      </c>
      <c r="N259" s="37"/>
      <c r="O259" s="35">
        <v>73960</v>
      </c>
      <c r="P259" s="35"/>
      <c r="Q259" s="35"/>
    </row>
    <row r="260" spans="1:17" s="15" customFormat="1" ht="26.25" customHeight="1" x14ac:dyDescent="0.2">
      <c r="A260" s="43" t="s">
        <v>776</v>
      </c>
      <c r="B260" s="46" t="s">
        <v>49</v>
      </c>
      <c r="C260" s="44" t="s">
        <v>801</v>
      </c>
      <c r="D260" s="34">
        <v>4991</v>
      </c>
      <c r="E260" s="46" t="s">
        <v>788</v>
      </c>
      <c r="F260" s="35">
        <v>95000</v>
      </c>
      <c r="G260" s="40">
        <v>95000</v>
      </c>
      <c r="H260" s="35">
        <v>0</v>
      </c>
      <c r="I260" s="35">
        <f t="shared" si="39"/>
        <v>95000</v>
      </c>
      <c r="J260" s="36">
        <f t="shared" si="40"/>
        <v>0</v>
      </c>
      <c r="K260" s="48" t="s">
        <v>37</v>
      </c>
      <c r="L260" s="48" t="s">
        <v>42</v>
      </c>
      <c r="M260" s="38">
        <v>41455</v>
      </c>
      <c r="N260" s="37"/>
      <c r="O260" s="35">
        <v>95000</v>
      </c>
      <c r="P260" s="35"/>
      <c r="Q260" s="35"/>
    </row>
    <row r="261" spans="1:17" s="15" customFormat="1" ht="26.25" customHeight="1" x14ac:dyDescent="0.2">
      <c r="A261" s="43" t="s">
        <v>777</v>
      </c>
      <c r="B261" s="46" t="s">
        <v>49</v>
      </c>
      <c r="C261" s="44" t="s">
        <v>123</v>
      </c>
      <c r="D261" s="34">
        <v>4990</v>
      </c>
      <c r="E261" s="46" t="s">
        <v>788</v>
      </c>
      <c r="F261" s="35">
        <v>95000</v>
      </c>
      <c r="G261" s="40">
        <v>95000</v>
      </c>
      <c r="H261" s="35">
        <v>0</v>
      </c>
      <c r="I261" s="35">
        <f t="shared" si="39"/>
        <v>95000</v>
      </c>
      <c r="J261" s="36">
        <f t="shared" si="40"/>
        <v>0</v>
      </c>
      <c r="K261" s="48" t="s">
        <v>37</v>
      </c>
      <c r="L261" s="48" t="s">
        <v>42</v>
      </c>
      <c r="M261" s="38">
        <v>41455</v>
      </c>
      <c r="N261" s="37"/>
      <c r="O261" s="35">
        <v>95000</v>
      </c>
      <c r="P261" s="35"/>
      <c r="Q261" s="35"/>
    </row>
    <row r="262" spans="1:17" s="15" customFormat="1" ht="26.25" customHeight="1" x14ac:dyDescent="0.2">
      <c r="A262" s="43" t="s">
        <v>802</v>
      </c>
      <c r="B262" s="46" t="s">
        <v>825</v>
      </c>
      <c r="C262" s="44" t="s">
        <v>826</v>
      </c>
      <c r="D262" s="34">
        <v>4065</v>
      </c>
      <c r="E262" s="46" t="s">
        <v>848</v>
      </c>
      <c r="F262" s="35">
        <f>35000*3</f>
        <v>105000</v>
      </c>
      <c r="G262" s="40">
        <f>35000*3</f>
        <v>105000</v>
      </c>
      <c r="H262" s="35">
        <v>0</v>
      </c>
      <c r="I262" s="35">
        <f t="shared" si="39"/>
        <v>105000</v>
      </c>
      <c r="J262" s="36">
        <f t="shared" si="40"/>
        <v>0</v>
      </c>
      <c r="K262" s="48" t="s">
        <v>37</v>
      </c>
      <c r="L262" s="48" t="s">
        <v>37</v>
      </c>
      <c r="M262" s="38">
        <v>41455</v>
      </c>
      <c r="N262" s="48" t="s">
        <v>64</v>
      </c>
      <c r="O262" s="35">
        <v>35000</v>
      </c>
      <c r="P262" s="35">
        <v>35000</v>
      </c>
      <c r="Q262" s="35">
        <v>35000</v>
      </c>
    </row>
    <row r="263" spans="1:17" s="15" customFormat="1" ht="26.25" customHeight="1" x14ac:dyDescent="0.2">
      <c r="A263" s="43" t="s">
        <v>803</v>
      </c>
      <c r="B263" s="46" t="s">
        <v>825</v>
      </c>
      <c r="C263" s="44" t="s">
        <v>827</v>
      </c>
      <c r="D263" s="34">
        <v>4067</v>
      </c>
      <c r="E263" s="46" t="s">
        <v>849</v>
      </c>
      <c r="F263" s="35">
        <f>35000*3</f>
        <v>105000</v>
      </c>
      <c r="G263" s="40">
        <f>35000*3</f>
        <v>105000</v>
      </c>
      <c r="H263" s="35">
        <v>0</v>
      </c>
      <c r="I263" s="35">
        <f t="shared" si="39"/>
        <v>105000</v>
      </c>
      <c r="J263" s="36">
        <f t="shared" si="40"/>
        <v>0</v>
      </c>
      <c r="K263" s="48" t="s">
        <v>37</v>
      </c>
      <c r="L263" s="48" t="s">
        <v>42</v>
      </c>
      <c r="M263" s="38">
        <v>41455</v>
      </c>
      <c r="N263" s="48" t="s">
        <v>64</v>
      </c>
      <c r="O263" s="35">
        <v>35000</v>
      </c>
      <c r="P263" s="35">
        <v>35000</v>
      </c>
      <c r="Q263" s="35">
        <v>35000</v>
      </c>
    </row>
    <row r="264" spans="1:17" s="15" customFormat="1" ht="26.25" customHeight="1" x14ac:dyDescent="0.2">
      <c r="A264" s="43" t="s">
        <v>804</v>
      </c>
      <c r="B264" s="46" t="s">
        <v>825</v>
      </c>
      <c r="C264" s="44" t="s">
        <v>828</v>
      </c>
      <c r="D264" s="34">
        <v>4069</v>
      </c>
      <c r="E264" s="46" t="s">
        <v>850</v>
      </c>
      <c r="F264" s="35">
        <f>15000*3</f>
        <v>45000</v>
      </c>
      <c r="G264" s="40">
        <f>15000*3</f>
        <v>45000</v>
      </c>
      <c r="H264" s="35">
        <v>0</v>
      </c>
      <c r="I264" s="35">
        <f t="shared" si="39"/>
        <v>45000</v>
      </c>
      <c r="J264" s="36">
        <f t="shared" si="40"/>
        <v>0</v>
      </c>
      <c r="K264" s="48" t="s">
        <v>37</v>
      </c>
      <c r="L264" s="48" t="s">
        <v>37</v>
      </c>
      <c r="M264" s="38">
        <v>41455</v>
      </c>
      <c r="N264" s="48" t="s">
        <v>64</v>
      </c>
      <c r="O264" s="35">
        <v>15000</v>
      </c>
      <c r="P264" s="35">
        <v>15000</v>
      </c>
      <c r="Q264" s="35">
        <v>15000</v>
      </c>
    </row>
    <row r="265" spans="1:17" s="15" customFormat="1" ht="26.25" customHeight="1" x14ac:dyDescent="0.2">
      <c r="A265" s="43" t="s">
        <v>805</v>
      </c>
      <c r="B265" s="46" t="s">
        <v>825</v>
      </c>
      <c r="C265" s="44" t="s">
        <v>829</v>
      </c>
      <c r="D265" s="34">
        <v>4076</v>
      </c>
      <c r="E265" s="46" t="s">
        <v>851</v>
      </c>
      <c r="F265" s="35">
        <f>20000*3</f>
        <v>60000</v>
      </c>
      <c r="G265" s="40">
        <f>20000*3</f>
        <v>60000</v>
      </c>
      <c r="H265" s="35">
        <v>0</v>
      </c>
      <c r="I265" s="35">
        <f t="shared" si="39"/>
        <v>60000</v>
      </c>
      <c r="J265" s="36">
        <f t="shared" si="40"/>
        <v>0</v>
      </c>
      <c r="K265" s="48" t="s">
        <v>37</v>
      </c>
      <c r="L265" s="48" t="s">
        <v>37</v>
      </c>
      <c r="M265" s="38">
        <v>41455</v>
      </c>
      <c r="N265" s="48" t="s">
        <v>64</v>
      </c>
      <c r="O265" s="35">
        <v>20000</v>
      </c>
      <c r="P265" s="35">
        <v>20000</v>
      </c>
      <c r="Q265" s="35">
        <v>20000</v>
      </c>
    </row>
    <row r="266" spans="1:17" s="15" customFormat="1" ht="26.25" customHeight="1" x14ac:dyDescent="0.2">
      <c r="A266" s="43" t="s">
        <v>806</v>
      </c>
      <c r="B266" s="46" t="s">
        <v>825</v>
      </c>
      <c r="C266" s="44" t="s">
        <v>830</v>
      </c>
      <c r="D266" s="34">
        <v>4077</v>
      </c>
      <c r="E266" s="46" t="s">
        <v>852</v>
      </c>
      <c r="F266" s="35">
        <f>25000*3</f>
        <v>75000</v>
      </c>
      <c r="G266" s="40">
        <f>25000*3</f>
        <v>75000</v>
      </c>
      <c r="H266" s="35">
        <v>0</v>
      </c>
      <c r="I266" s="35">
        <f t="shared" si="39"/>
        <v>75000</v>
      </c>
      <c r="J266" s="36">
        <f t="shared" si="40"/>
        <v>0</v>
      </c>
      <c r="K266" s="48" t="s">
        <v>37</v>
      </c>
      <c r="L266" s="48" t="s">
        <v>37</v>
      </c>
      <c r="M266" s="38">
        <v>41455</v>
      </c>
      <c r="N266" s="48" t="s">
        <v>64</v>
      </c>
      <c r="O266" s="35">
        <v>25000</v>
      </c>
      <c r="P266" s="35">
        <v>25000</v>
      </c>
      <c r="Q266" s="35">
        <v>25000</v>
      </c>
    </row>
    <row r="267" spans="1:17" s="15" customFormat="1" ht="26.25" customHeight="1" x14ac:dyDescent="0.2">
      <c r="A267" s="43" t="s">
        <v>807</v>
      </c>
      <c r="B267" s="46" t="s">
        <v>825</v>
      </c>
      <c r="C267" s="44" t="s">
        <v>831</v>
      </c>
      <c r="D267" s="34">
        <v>4097</v>
      </c>
      <c r="E267" s="46" t="s">
        <v>853</v>
      </c>
      <c r="F267" s="35">
        <f t="shared" ref="F267:G269" si="41">15000*3</f>
        <v>45000</v>
      </c>
      <c r="G267" s="40">
        <f t="shared" si="41"/>
        <v>45000</v>
      </c>
      <c r="H267" s="35">
        <v>0</v>
      </c>
      <c r="I267" s="35">
        <f t="shared" si="39"/>
        <v>45000</v>
      </c>
      <c r="J267" s="36">
        <f t="shared" si="40"/>
        <v>0</v>
      </c>
      <c r="K267" s="48" t="s">
        <v>37</v>
      </c>
      <c r="L267" s="48" t="s">
        <v>37</v>
      </c>
      <c r="M267" s="38">
        <v>41455</v>
      </c>
      <c r="N267" s="48" t="s">
        <v>64</v>
      </c>
      <c r="O267" s="35">
        <v>15000</v>
      </c>
      <c r="P267" s="35">
        <v>15000</v>
      </c>
      <c r="Q267" s="35">
        <v>15000</v>
      </c>
    </row>
    <row r="268" spans="1:17" s="15" customFormat="1" ht="26.25" customHeight="1" x14ac:dyDescent="0.2">
      <c r="A268" s="43" t="s">
        <v>808</v>
      </c>
      <c r="B268" s="46" t="s">
        <v>825</v>
      </c>
      <c r="C268" s="44" t="s">
        <v>832</v>
      </c>
      <c r="D268" s="34">
        <v>4099</v>
      </c>
      <c r="E268" s="46" t="s">
        <v>854</v>
      </c>
      <c r="F268" s="35">
        <f t="shared" si="41"/>
        <v>45000</v>
      </c>
      <c r="G268" s="40">
        <f t="shared" si="41"/>
        <v>45000</v>
      </c>
      <c r="H268" s="35">
        <v>0</v>
      </c>
      <c r="I268" s="35">
        <f t="shared" si="39"/>
        <v>45000</v>
      </c>
      <c r="J268" s="36">
        <f t="shared" si="40"/>
        <v>0</v>
      </c>
      <c r="K268" s="48" t="s">
        <v>37</v>
      </c>
      <c r="L268" s="48" t="s">
        <v>37</v>
      </c>
      <c r="M268" s="38">
        <v>41455</v>
      </c>
      <c r="N268" s="48" t="s">
        <v>64</v>
      </c>
      <c r="O268" s="35">
        <v>15000</v>
      </c>
      <c r="P268" s="35">
        <v>15000</v>
      </c>
      <c r="Q268" s="35">
        <v>15000</v>
      </c>
    </row>
    <row r="269" spans="1:17" s="15" customFormat="1" ht="26.25" customHeight="1" x14ac:dyDescent="0.2">
      <c r="A269" s="43" t="s">
        <v>809</v>
      </c>
      <c r="B269" s="46" t="s">
        <v>825</v>
      </c>
      <c r="C269" s="44" t="s">
        <v>833</v>
      </c>
      <c r="D269" s="34">
        <v>4100</v>
      </c>
      <c r="E269" s="46" t="s">
        <v>855</v>
      </c>
      <c r="F269" s="35">
        <f t="shared" si="41"/>
        <v>45000</v>
      </c>
      <c r="G269" s="40">
        <f t="shared" si="41"/>
        <v>45000</v>
      </c>
      <c r="H269" s="35">
        <v>0</v>
      </c>
      <c r="I269" s="35">
        <f t="shared" si="39"/>
        <v>45000</v>
      </c>
      <c r="J269" s="36">
        <f t="shared" si="40"/>
        <v>0</v>
      </c>
      <c r="K269" s="48" t="s">
        <v>37</v>
      </c>
      <c r="L269" s="48" t="s">
        <v>37</v>
      </c>
      <c r="M269" s="38">
        <v>41455</v>
      </c>
      <c r="N269" s="48" t="s">
        <v>64</v>
      </c>
      <c r="O269" s="35">
        <v>15000</v>
      </c>
      <c r="P269" s="35">
        <v>15000</v>
      </c>
      <c r="Q269" s="35">
        <v>15000</v>
      </c>
    </row>
    <row r="270" spans="1:17" s="15" customFormat="1" ht="26.25" customHeight="1" x14ac:dyDescent="0.2">
      <c r="A270" s="43" t="s">
        <v>810</v>
      </c>
      <c r="B270" s="46" t="s">
        <v>825</v>
      </c>
      <c r="C270" s="44" t="s">
        <v>834</v>
      </c>
      <c r="D270" s="34">
        <v>4101</v>
      </c>
      <c r="E270" s="46" t="s">
        <v>856</v>
      </c>
      <c r="F270" s="35">
        <f>25000*3</f>
        <v>75000</v>
      </c>
      <c r="G270" s="40">
        <f>25000*3</f>
        <v>75000</v>
      </c>
      <c r="H270" s="35">
        <v>0</v>
      </c>
      <c r="I270" s="35">
        <f t="shared" si="39"/>
        <v>75000</v>
      </c>
      <c r="J270" s="36">
        <f t="shared" si="40"/>
        <v>0</v>
      </c>
      <c r="K270" s="48" t="s">
        <v>37</v>
      </c>
      <c r="L270" s="48" t="s">
        <v>37</v>
      </c>
      <c r="M270" s="38">
        <v>41455</v>
      </c>
      <c r="N270" s="48" t="s">
        <v>64</v>
      </c>
      <c r="O270" s="35">
        <v>25000</v>
      </c>
      <c r="P270" s="35">
        <v>25000</v>
      </c>
      <c r="Q270" s="35">
        <v>25000</v>
      </c>
    </row>
    <row r="271" spans="1:17" s="15" customFormat="1" ht="26.25" customHeight="1" x14ac:dyDescent="0.2">
      <c r="A271" s="43" t="s">
        <v>811</v>
      </c>
      <c r="B271" s="46" t="s">
        <v>825</v>
      </c>
      <c r="C271" s="44" t="s">
        <v>835</v>
      </c>
      <c r="D271" s="34">
        <v>4102</v>
      </c>
      <c r="E271" s="46" t="s">
        <v>857</v>
      </c>
      <c r="F271" s="35">
        <f>15000*3</f>
        <v>45000</v>
      </c>
      <c r="G271" s="40">
        <f>15000*3</f>
        <v>45000</v>
      </c>
      <c r="H271" s="35">
        <v>0</v>
      </c>
      <c r="I271" s="35">
        <f t="shared" ref="I271:I277" si="42">G271+H271</f>
        <v>45000</v>
      </c>
      <c r="J271" s="36">
        <f t="shared" ref="J271:J277" si="43">IF(G271=0,100%,(I271-G271)/G271)</f>
        <v>0</v>
      </c>
      <c r="K271" s="48" t="s">
        <v>37</v>
      </c>
      <c r="L271" s="48" t="s">
        <v>37</v>
      </c>
      <c r="M271" s="38">
        <v>41455</v>
      </c>
      <c r="N271" s="48" t="s">
        <v>64</v>
      </c>
      <c r="O271" s="35">
        <v>15000</v>
      </c>
      <c r="P271" s="35">
        <v>15000</v>
      </c>
      <c r="Q271" s="35">
        <v>15000</v>
      </c>
    </row>
    <row r="272" spans="1:17" s="15" customFormat="1" ht="26.25" customHeight="1" x14ac:dyDescent="0.2">
      <c r="A272" s="43" t="s">
        <v>812</v>
      </c>
      <c r="B272" s="46" t="s">
        <v>825</v>
      </c>
      <c r="C272" s="44" t="s">
        <v>836</v>
      </c>
      <c r="D272" s="34">
        <v>4103</v>
      </c>
      <c r="E272" s="46" t="s">
        <v>858</v>
      </c>
      <c r="F272" s="35">
        <f>15000*3</f>
        <v>45000</v>
      </c>
      <c r="G272" s="40">
        <f>15000*3</f>
        <v>45000</v>
      </c>
      <c r="H272" s="35">
        <v>0</v>
      </c>
      <c r="I272" s="35">
        <f t="shared" si="42"/>
        <v>45000</v>
      </c>
      <c r="J272" s="36">
        <f t="shared" si="43"/>
        <v>0</v>
      </c>
      <c r="K272" s="48" t="s">
        <v>37</v>
      </c>
      <c r="L272" s="48" t="s">
        <v>37</v>
      </c>
      <c r="M272" s="38">
        <v>41455</v>
      </c>
      <c r="N272" s="48" t="s">
        <v>64</v>
      </c>
      <c r="O272" s="35">
        <v>15000</v>
      </c>
      <c r="P272" s="35">
        <v>15000</v>
      </c>
      <c r="Q272" s="35">
        <v>15000</v>
      </c>
    </row>
    <row r="273" spans="1:17" s="15" customFormat="1" ht="38.25" customHeight="1" x14ac:dyDescent="0.2">
      <c r="A273" s="43" t="s">
        <v>813</v>
      </c>
      <c r="B273" s="46" t="s">
        <v>825</v>
      </c>
      <c r="C273" s="44" t="s">
        <v>837</v>
      </c>
      <c r="D273" s="34">
        <v>4104</v>
      </c>
      <c r="E273" s="46" t="s">
        <v>868</v>
      </c>
      <c r="F273" s="35">
        <f>10000*3</f>
        <v>30000</v>
      </c>
      <c r="G273" s="40">
        <f>10000*3</f>
        <v>30000</v>
      </c>
      <c r="H273" s="35">
        <v>0</v>
      </c>
      <c r="I273" s="35">
        <f t="shared" si="42"/>
        <v>30000</v>
      </c>
      <c r="J273" s="36">
        <f t="shared" si="43"/>
        <v>0</v>
      </c>
      <c r="K273" s="48" t="s">
        <v>37</v>
      </c>
      <c r="L273" s="48" t="s">
        <v>37</v>
      </c>
      <c r="M273" s="38">
        <v>41455</v>
      </c>
      <c r="N273" s="48" t="s">
        <v>64</v>
      </c>
      <c r="O273" s="35">
        <v>10000</v>
      </c>
      <c r="P273" s="35">
        <v>10000</v>
      </c>
      <c r="Q273" s="35">
        <v>10000</v>
      </c>
    </row>
    <row r="274" spans="1:17" s="15" customFormat="1" ht="38.25" customHeight="1" x14ac:dyDescent="0.2">
      <c r="A274" s="43" t="s">
        <v>814</v>
      </c>
      <c r="B274" s="46" t="s">
        <v>825</v>
      </c>
      <c r="C274" s="44" t="s">
        <v>838</v>
      </c>
      <c r="D274" s="34">
        <v>4106</v>
      </c>
      <c r="E274" s="46" t="s">
        <v>868</v>
      </c>
      <c r="F274" s="35">
        <f>25000*3</f>
        <v>75000</v>
      </c>
      <c r="G274" s="40">
        <f>25000*3</f>
        <v>75000</v>
      </c>
      <c r="H274" s="35">
        <v>0</v>
      </c>
      <c r="I274" s="35">
        <f t="shared" si="42"/>
        <v>75000</v>
      </c>
      <c r="J274" s="36">
        <f t="shared" si="43"/>
        <v>0</v>
      </c>
      <c r="K274" s="48" t="s">
        <v>37</v>
      </c>
      <c r="L274" s="48" t="s">
        <v>37</v>
      </c>
      <c r="M274" s="38">
        <v>41455</v>
      </c>
      <c r="N274" s="48" t="s">
        <v>64</v>
      </c>
      <c r="O274" s="35">
        <v>25000</v>
      </c>
      <c r="P274" s="35">
        <v>25000</v>
      </c>
      <c r="Q274" s="35">
        <v>25000</v>
      </c>
    </row>
    <row r="275" spans="1:17" s="15" customFormat="1" ht="26.25" customHeight="1" x14ac:dyDescent="0.2">
      <c r="A275" s="43" t="s">
        <v>815</v>
      </c>
      <c r="B275" s="46" t="s">
        <v>17</v>
      </c>
      <c r="C275" s="44" t="s">
        <v>839</v>
      </c>
      <c r="D275" s="34">
        <v>4110</v>
      </c>
      <c r="E275" s="46" t="s">
        <v>859</v>
      </c>
      <c r="F275" s="35">
        <f>33000*3</f>
        <v>99000</v>
      </c>
      <c r="G275" s="40">
        <f>33000*3</f>
        <v>99000</v>
      </c>
      <c r="H275" s="35">
        <v>0</v>
      </c>
      <c r="I275" s="35">
        <f t="shared" si="42"/>
        <v>99000</v>
      </c>
      <c r="J275" s="36">
        <f t="shared" si="43"/>
        <v>0</v>
      </c>
      <c r="K275" s="48" t="s">
        <v>37</v>
      </c>
      <c r="L275" s="48" t="s">
        <v>37</v>
      </c>
      <c r="M275" s="38">
        <v>41455</v>
      </c>
      <c r="N275" s="48" t="s">
        <v>64</v>
      </c>
      <c r="O275" s="35">
        <v>33000</v>
      </c>
      <c r="P275" s="35">
        <v>33000</v>
      </c>
      <c r="Q275" s="35">
        <v>33000</v>
      </c>
    </row>
    <row r="276" spans="1:17" s="15" customFormat="1" ht="38.25" customHeight="1" x14ac:dyDescent="0.2">
      <c r="A276" s="43" t="s">
        <v>816</v>
      </c>
      <c r="B276" s="46" t="s">
        <v>825</v>
      </c>
      <c r="C276" s="44" t="s">
        <v>840</v>
      </c>
      <c r="D276" s="34">
        <v>4463</v>
      </c>
      <c r="E276" s="46" t="s">
        <v>867</v>
      </c>
      <c r="F276" s="35">
        <f>20000*3</f>
        <v>60000</v>
      </c>
      <c r="G276" s="40">
        <f>20000*3</f>
        <v>60000</v>
      </c>
      <c r="H276" s="35">
        <v>0</v>
      </c>
      <c r="I276" s="35">
        <f t="shared" si="42"/>
        <v>60000</v>
      </c>
      <c r="J276" s="36">
        <f t="shared" si="43"/>
        <v>0</v>
      </c>
      <c r="K276" s="48" t="s">
        <v>37</v>
      </c>
      <c r="L276" s="48" t="s">
        <v>37</v>
      </c>
      <c r="M276" s="38">
        <v>41455</v>
      </c>
      <c r="N276" s="48" t="s">
        <v>64</v>
      </c>
      <c r="O276" s="35">
        <v>20000</v>
      </c>
      <c r="P276" s="35">
        <v>20000</v>
      </c>
      <c r="Q276" s="35">
        <v>20000</v>
      </c>
    </row>
    <row r="277" spans="1:17" s="15" customFormat="1" ht="26.25" customHeight="1" x14ac:dyDescent="0.2">
      <c r="A277" s="43" t="s">
        <v>817</v>
      </c>
      <c r="B277" s="46" t="s">
        <v>825</v>
      </c>
      <c r="C277" s="44" t="s">
        <v>841</v>
      </c>
      <c r="D277" s="34">
        <v>4464</v>
      </c>
      <c r="E277" s="46" t="s">
        <v>853</v>
      </c>
      <c r="F277" s="35">
        <f>12000*3</f>
        <v>36000</v>
      </c>
      <c r="G277" s="40">
        <f>12000*3</f>
        <v>36000</v>
      </c>
      <c r="H277" s="35">
        <v>0</v>
      </c>
      <c r="I277" s="35">
        <f t="shared" si="42"/>
        <v>36000</v>
      </c>
      <c r="J277" s="36">
        <f t="shared" si="43"/>
        <v>0</v>
      </c>
      <c r="K277" s="48" t="s">
        <v>37</v>
      </c>
      <c r="L277" s="48" t="s">
        <v>37</v>
      </c>
      <c r="M277" s="38">
        <v>41455</v>
      </c>
      <c r="N277" s="48" t="s">
        <v>64</v>
      </c>
      <c r="O277" s="35">
        <v>12000</v>
      </c>
      <c r="P277" s="35">
        <v>12000</v>
      </c>
      <c r="Q277" s="35">
        <v>12000</v>
      </c>
    </row>
    <row r="278" spans="1:17" s="15" customFormat="1" ht="26.25" customHeight="1" x14ac:dyDescent="0.2">
      <c r="A278" s="43" t="s">
        <v>818</v>
      </c>
      <c r="B278" s="46" t="s">
        <v>825</v>
      </c>
      <c r="C278" s="44" t="s">
        <v>842</v>
      </c>
      <c r="D278" s="34">
        <v>4465</v>
      </c>
      <c r="E278" s="46" t="s">
        <v>866</v>
      </c>
      <c r="F278" s="35">
        <f>20000*3</f>
        <v>60000</v>
      </c>
      <c r="G278" s="40">
        <f>20000*3</f>
        <v>60000</v>
      </c>
      <c r="H278" s="35">
        <v>0</v>
      </c>
      <c r="I278" s="35">
        <f t="shared" ref="I278:I284" si="44">G278+H278</f>
        <v>60000</v>
      </c>
      <c r="J278" s="36">
        <f t="shared" ref="J278:J284" si="45">IF(G278=0,100%,(I278-G278)/G278)</f>
        <v>0</v>
      </c>
      <c r="K278" s="48" t="s">
        <v>37</v>
      </c>
      <c r="L278" s="48" t="s">
        <v>37</v>
      </c>
      <c r="M278" s="38">
        <v>41455</v>
      </c>
      <c r="N278" s="48" t="s">
        <v>64</v>
      </c>
      <c r="O278" s="35">
        <v>20000</v>
      </c>
      <c r="P278" s="35">
        <v>20000</v>
      </c>
      <c r="Q278" s="35">
        <v>20000</v>
      </c>
    </row>
    <row r="279" spans="1:17" s="15" customFormat="1" ht="26.25" customHeight="1" x14ac:dyDescent="0.2">
      <c r="A279" s="43" t="s">
        <v>819</v>
      </c>
      <c r="B279" s="46" t="s">
        <v>825</v>
      </c>
      <c r="C279" s="44" t="s">
        <v>98</v>
      </c>
      <c r="D279" s="34">
        <v>4897</v>
      </c>
      <c r="E279" s="46" t="s">
        <v>865</v>
      </c>
      <c r="F279" s="35">
        <f>48000*3</f>
        <v>144000</v>
      </c>
      <c r="G279" s="40">
        <f>48000*3</f>
        <v>144000</v>
      </c>
      <c r="H279" s="35">
        <v>0</v>
      </c>
      <c r="I279" s="35">
        <f t="shared" si="44"/>
        <v>144000</v>
      </c>
      <c r="J279" s="36">
        <f t="shared" si="45"/>
        <v>0</v>
      </c>
      <c r="K279" s="48" t="s">
        <v>37</v>
      </c>
      <c r="L279" s="48" t="s">
        <v>37</v>
      </c>
      <c r="M279" s="38">
        <v>41578</v>
      </c>
      <c r="N279" s="48" t="s">
        <v>64</v>
      </c>
      <c r="O279" s="35">
        <v>48000</v>
      </c>
      <c r="P279" s="35">
        <v>48000</v>
      </c>
      <c r="Q279" s="35">
        <v>48000</v>
      </c>
    </row>
    <row r="280" spans="1:17" s="15" customFormat="1" ht="26.25" customHeight="1" x14ac:dyDescent="0.2">
      <c r="A280" s="43" t="s">
        <v>820</v>
      </c>
      <c r="B280" s="46" t="s">
        <v>48</v>
      </c>
      <c r="C280" s="44" t="s">
        <v>843</v>
      </c>
      <c r="D280" s="34">
        <v>4900</v>
      </c>
      <c r="E280" s="46" t="s">
        <v>860</v>
      </c>
      <c r="F280" s="35">
        <v>12500</v>
      </c>
      <c r="G280" s="40">
        <v>12500</v>
      </c>
      <c r="H280" s="35">
        <v>0</v>
      </c>
      <c r="I280" s="35">
        <f t="shared" si="44"/>
        <v>12500</v>
      </c>
      <c r="J280" s="36">
        <f t="shared" si="45"/>
        <v>0</v>
      </c>
      <c r="K280" s="48" t="s">
        <v>37</v>
      </c>
      <c r="L280" s="48" t="s">
        <v>37</v>
      </c>
      <c r="M280" s="38">
        <v>41305</v>
      </c>
      <c r="N280" s="37"/>
      <c r="O280" s="35">
        <v>12500</v>
      </c>
      <c r="P280" s="35"/>
      <c r="Q280" s="35"/>
    </row>
    <row r="281" spans="1:17" s="15" customFormat="1" ht="26.25" customHeight="1" x14ac:dyDescent="0.2">
      <c r="A281" s="43" t="s">
        <v>821</v>
      </c>
      <c r="B281" s="46" t="s">
        <v>825</v>
      </c>
      <c r="C281" s="44" t="s">
        <v>844</v>
      </c>
      <c r="D281" s="34">
        <v>4941</v>
      </c>
      <c r="E281" s="46" t="s">
        <v>861</v>
      </c>
      <c r="F281" s="35">
        <f>10000*3</f>
        <v>30000</v>
      </c>
      <c r="G281" s="40">
        <f>10000*3</f>
        <v>30000</v>
      </c>
      <c r="H281" s="35">
        <v>0</v>
      </c>
      <c r="I281" s="35">
        <f t="shared" si="44"/>
        <v>30000</v>
      </c>
      <c r="J281" s="36">
        <f t="shared" si="45"/>
        <v>0</v>
      </c>
      <c r="K281" s="48" t="s">
        <v>37</v>
      </c>
      <c r="L281" s="48" t="s">
        <v>37</v>
      </c>
      <c r="M281" s="38">
        <v>41455</v>
      </c>
      <c r="N281" s="48" t="s">
        <v>64</v>
      </c>
      <c r="O281" s="35">
        <v>10000</v>
      </c>
      <c r="P281" s="35">
        <v>10000</v>
      </c>
      <c r="Q281" s="35">
        <v>10000</v>
      </c>
    </row>
    <row r="282" spans="1:17" s="15" customFormat="1" ht="26.25" customHeight="1" x14ac:dyDescent="0.2">
      <c r="A282" s="43" t="s">
        <v>822</v>
      </c>
      <c r="B282" s="46" t="s">
        <v>825</v>
      </c>
      <c r="C282" s="44" t="s">
        <v>845</v>
      </c>
      <c r="D282" s="34">
        <v>4944</v>
      </c>
      <c r="E282" s="46" t="s">
        <v>864</v>
      </c>
      <c r="F282" s="35">
        <f>35000*3</f>
        <v>105000</v>
      </c>
      <c r="G282" s="40">
        <f>35000*3</f>
        <v>105000</v>
      </c>
      <c r="H282" s="35">
        <v>0</v>
      </c>
      <c r="I282" s="35">
        <f t="shared" si="44"/>
        <v>105000</v>
      </c>
      <c r="J282" s="36">
        <f t="shared" si="45"/>
        <v>0</v>
      </c>
      <c r="K282" s="48" t="s">
        <v>37</v>
      </c>
      <c r="L282" s="48" t="s">
        <v>37</v>
      </c>
      <c r="M282" s="38">
        <v>41455</v>
      </c>
      <c r="N282" s="48" t="s">
        <v>64</v>
      </c>
      <c r="O282" s="35">
        <v>35000</v>
      </c>
      <c r="P282" s="35">
        <v>35000</v>
      </c>
      <c r="Q282" s="35">
        <v>35000</v>
      </c>
    </row>
    <row r="283" spans="1:17" s="15" customFormat="1" ht="26.25" customHeight="1" x14ac:dyDescent="0.2">
      <c r="A283" s="43" t="s">
        <v>823</v>
      </c>
      <c r="B283" s="46" t="s">
        <v>825</v>
      </c>
      <c r="C283" s="44" t="s">
        <v>846</v>
      </c>
      <c r="D283" s="34">
        <v>4946</v>
      </c>
      <c r="E283" s="46" t="s">
        <v>863</v>
      </c>
      <c r="F283" s="35">
        <f>20000*3</f>
        <v>60000</v>
      </c>
      <c r="G283" s="40">
        <f>20000*3</f>
        <v>60000</v>
      </c>
      <c r="H283" s="35">
        <v>0</v>
      </c>
      <c r="I283" s="35">
        <f t="shared" si="44"/>
        <v>60000</v>
      </c>
      <c r="J283" s="36">
        <f t="shared" si="45"/>
        <v>0</v>
      </c>
      <c r="K283" s="48" t="s">
        <v>37</v>
      </c>
      <c r="L283" s="48" t="s">
        <v>37</v>
      </c>
      <c r="M283" s="38">
        <v>41455</v>
      </c>
      <c r="N283" s="48" t="s">
        <v>64</v>
      </c>
      <c r="O283" s="35">
        <v>20000</v>
      </c>
      <c r="P283" s="35">
        <v>20000</v>
      </c>
      <c r="Q283" s="35">
        <v>20000</v>
      </c>
    </row>
    <row r="284" spans="1:17" s="15" customFormat="1" ht="26.25" customHeight="1" x14ac:dyDescent="0.2">
      <c r="A284" s="43" t="s">
        <v>824</v>
      </c>
      <c r="B284" s="46" t="s">
        <v>39</v>
      </c>
      <c r="C284" s="44" t="s">
        <v>847</v>
      </c>
      <c r="D284" s="34">
        <v>4966</v>
      </c>
      <c r="E284" s="46" t="s">
        <v>862</v>
      </c>
      <c r="F284" s="35">
        <f>11071*3</f>
        <v>33213</v>
      </c>
      <c r="G284" s="40">
        <f>11071*3</f>
        <v>33213</v>
      </c>
      <c r="H284" s="35">
        <v>0</v>
      </c>
      <c r="I284" s="35">
        <f t="shared" si="44"/>
        <v>33213</v>
      </c>
      <c r="J284" s="36">
        <f t="shared" si="45"/>
        <v>0</v>
      </c>
      <c r="K284" s="48" t="s">
        <v>37</v>
      </c>
      <c r="L284" s="48" t="s">
        <v>37</v>
      </c>
      <c r="M284" s="38">
        <v>41578</v>
      </c>
      <c r="N284" s="48" t="s">
        <v>64</v>
      </c>
      <c r="O284" s="35">
        <v>11071</v>
      </c>
      <c r="P284" s="35">
        <v>11071</v>
      </c>
      <c r="Q284" s="35">
        <v>11071</v>
      </c>
    </row>
    <row r="285" spans="1:17" s="15" customFormat="1" ht="26.25" customHeight="1" x14ac:dyDescent="0.2">
      <c r="A285" s="43" t="s">
        <v>869</v>
      </c>
      <c r="B285" s="46" t="s">
        <v>47</v>
      </c>
      <c r="C285" s="44" t="s">
        <v>791</v>
      </c>
      <c r="D285" s="34">
        <v>4727</v>
      </c>
      <c r="E285" s="46" t="s">
        <v>877</v>
      </c>
      <c r="F285" s="35">
        <v>24425</v>
      </c>
      <c r="G285" s="40">
        <v>24425</v>
      </c>
      <c r="H285" s="35">
        <v>0</v>
      </c>
      <c r="I285" s="35">
        <f t="shared" ref="I285:I290" si="46">G285+H285</f>
        <v>24425</v>
      </c>
      <c r="J285" s="36">
        <f t="shared" ref="J285:J290" si="47">IF(G285=0,100%,(I285-G285)/G285)</f>
        <v>0</v>
      </c>
      <c r="K285" s="48" t="s">
        <v>37</v>
      </c>
      <c r="L285" s="48" t="s">
        <v>37</v>
      </c>
      <c r="M285" s="38">
        <v>41243</v>
      </c>
      <c r="N285" s="37"/>
      <c r="O285" s="35">
        <v>24425</v>
      </c>
      <c r="P285" s="35"/>
      <c r="Q285" s="35"/>
    </row>
    <row r="286" spans="1:17" s="15" customFormat="1" ht="26.25" customHeight="1" x14ac:dyDescent="0.2">
      <c r="A286" s="43" t="s">
        <v>870</v>
      </c>
      <c r="B286" s="46" t="s">
        <v>47</v>
      </c>
      <c r="C286" s="44" t="s">
        <v>791</v>
      </c>
      <c r="D286" s="34">
        <v>4729</v>
      </c>
      <c r="E286" s="46" t="s">
        <v>878</v>
      </c>
      <c r="F286" s="35">
        <v>7613</v>
      </c>
      <c r="G286" s="40">
        <v>7613</v>
      </c>
      <c r="H286" s="35">
        <v>0</v>
      </c>
      <c r="I286" s="35">
        <f t="shared" si="46"/>
        <v>7613</v>
      </c>
      <c r="J286" s="36">
        <f t="shared" si="47"/>
        <v>0</v>
      </c>
      <c r="K286" s="48" t="s">
        <v>37</v>
      </c>
      <c r="L286" s="48" t="s">
        <v>37</v>
      </c>
      <c r="M286" s="38">
        <v>41243</v>
      </c>
      <c r="N286" s="37"/>
      <c r="O286" s="35">
        <v>7613</v>
      </c>
      <c r="P286" s="35"/>
      <c r="Q286" s="35"/>
    </row>
    <row r="287" spans="1:17" s="15" customFormat="1" ht="18" customHeight="1" x14ac:dyDescent="0.2">
      <c r="A287" s="43" t="s">
        <v>871</v>
      </c>
      <c r="B287" s="46" t="s">
        <v>17</v>
      </c>
      <c r="C287" s="44" t="s">
        <v>879</v>
      </c>
      <c r="D287" s="34">
        <v>4750</v>
      </c>
      <c r="E287" s="46" t="s">
        <v>875</v>
      </c>
      <c r="F287" s="35">
        <v>10000</v>
      </c>
      <c r="G287" s="40">
        <v>10000</v>
      </c>
      <c r="H287" s="35">
        <v>0</v>
      </c>
      <c r="I287" s="35">
        <f t="shared" si="46"/>
        <v>10000</v>
      </c>
      <c r="J287" s="36">
        <f t="shared" si="47"/>
        <v>0</v>
      </c>
      <c r="K287" s="48" t="s">
        <v>37</v>
      </c>
      <c r="L287" s="48" t="s">
        <v>37</v>
      </c>
      <c r="M287" s="38">
        <v>41455</v>
      </c>
      <c r="N287" s="37"/>
      <c r="O287" s="35">
        <v>10000</v>
      </c>
      <c r="P287" s="35"/>
      <c r="Q287" s="35"/>
    </row>
    <row r="288" spans="1:17" s="15" customFormat="1" ht="26.25" customHeight="1" x14ac:dyDescent="0.2">
      <c r="A288" s="43" t="s">
        <v>872</v>
      </c>
      <c r="B288" s="46" t="s">
        <v>39</v>
      </c>
      <c r="C288" s="44" t="s">
        <v>100</v>
      </c>
      <c r="D288" s="34">
        <v>4816</v>
      </c>
      <c r="E288" s="46" t="s">
        <v>101</v>
      </c>
      <c r="F288" s="35">
        <v>13000</v>
      </c>
      <c r="G288" s="40">
        <v>25000</v>
      </c>
      <c r="H288" s="35">
        <f>25600+13000</f>
        <v>38600</v>
      </c>
      <c r="I288" s="35">
        <f t="shared" si="46"/>
        <v>63600</v>
      </c>
      <c r="J288" s="36">
        <f t="shared" si="47"/>
        <v>1.544</v>
      </c>
      <c r="K288" s="48" t="s">
        <v>37</v>
      </c>
      <c r="L288" s="48" t="s">
        <v>37</v>
      </c>
      <c r="M288" s="38">
        <v>41455</v>
      </c>
      <c r="N288" s="48" t="s">
        <v>36</v>
      </c>
      <c r="O288" s="35">
        <v>13000</v>
      </c>
      <c r="P288" s="35"/>
      <c r="Q288" s="35"/>
    </row>
    <row r="289" spans="1:17" s="15" customFormat="1" ht="26.25" customHeight="1" x14ac:dyDescent="0.2">
      <c r="A289" s="43" t="s">
        <v>873</v>
      </c>
      <c r="B289" s="46" t="s">
        <v>39</v>
      </c>
      <c r="C289" s="44" t="s">
        <v>880</v>
      </c>
      <c r="D289" s="34">
        <v>5030</v>
      </c>
      <c r="E289" s="46" t="s">
        <v>876</v>
      </c>
      <c r="F289" s="35">
        <f>24960*3</f>
        <v>74880</v>
      </c>
      <c r="G289" s="40">
        <f>24960*3</f>
        <v>74880</v>
      </c>
      <c r="H289" s="35">
        <v>0</v>
      </c>
      <c r="I289" s="35">
        <f t="shared" si="46"/>
        <v>74880</v>
      </c>
      <c r="J289" s="36">
        <f t="shared" si="47"/>
        <v>0</v>
      </c>
      <c r="K289" s="48" t="s">
        <v>37</v>
      </c>
      <c r="L289" s="48" t="s">
        <v>37</v>
      </c>
      <c r="M289" s="38">
        <v>41572</v>
      </c>
      <c r="N289" s="48" t="s">
        <v>64</v>
      </c>
      <c r="O289" s="35">
        <v>24960</v>
      </c>
      <c r="P289" s="35">
        <v>24960</v>
      </c>
      <c r="Q289" s="35">
        <v>24960</v>
      </c>
    </row>
    <row r="290" spans="1:17" s="15" customFormat="1" ht="26.25" customHeight="1" x14ac:dyDescent="0.2">
      <c r="A290" s="43" t="s">
        <v>874</v>
      </c>
      <c r="B290" s="46" t="s">
        <v>39</v>
      </c>
      <c r="C290" s="44" t="s">
        <v>881</v>
      </c>
      <c r="D290" s="34">
        <v>5031</v>
      </c>
      <c r="E290" s="46" t="s">
        <v>876</v>
      </c>
      <c r="F290" s="35">
        <v>23688</v>
      </c>
      <c r="G290" s="40">
        <v>23688</v>
      </c>
      <c r="H290" s="35">
        <v>0</v>
      </c>
      <c r="I290" s="35">
        <f t="shared" si="46"/>
        <v>23688</v>
      </c>
      <c r="J290" s="36">
        <f t="shared" si="47"/>
        <v>0</v>
      </c>
      <c r="K290" s="48" t="s">
        <v>37</v>
      </c>
      <c r="L290" s="48" t="s">
        <v>37</v>
      </c>
      <c r="M290" s="38">
        <v>41572</v>
      </c>
      <c r="N290" s="37"/>
      <c r="O290" s="35">
        <v>23688</v>
      </c>
      <c r="P290" s="35"/>
      <c r="Q290" s="35"/>
    </row>
    <row r="291" spans="1:17" s="15" customFormat="1" ht="26.25" customHeight="1" x14ac:dyDescent="0.2">
      <c r="A291" s="43" t="s">
        <v>886</v>
      </c>
      <c r="B291" s="46" t="s">
        <v>17</v>
      </c>
      <c r="C291" s="44" t="s">
        <v>797</v>
      </c>
      <c r="D291" s="34">
        <v>4107</v>
      </c>
      <c r="E291" s="46" t="s">
        <v>784</v>
      </c>
      <c r="F291" s="35">
        <f>32000*3</f>
        <v>96000</v>
      </c>
      <c r="G291" s="40">
        <f>32000*3</f>
        <v>96000</v>
      </c>
      <c r="H291" s="35">
        <v>0</v>
      </c>
      <c r="I291" s="35">
        <f t="shared" ref="I291:I296" si="48">G291+H291</f>
        <v>96000</v>
      </c>
      <c r="J291" s="36">
        <f t="shared" ref="J291:J296" si="49">IF(G291=0,100%,(I291-G291)/G291)</f>
        <v>0</v>
      </c>
      <c r="K291" s="48" t="s">
        <v>37</v>
      </c>
      <c r="L291" s="48" t="s">
        <v>37</v>
      </c>
      <c r="M291" s="38">
        <v>41455</v>
      </c>
      <c r="N291" s="48" t="s">
        <v>64</v>
      </c>
      <c r="O291" s="35">
        <v>32000</v>
      </c>
      <c r="P291" s="35">
        <v>32000</v>
      </c>
      <c r="Q291" s="35">
        <v>32000</v>
      </c>
    </row>
    <row r="292" spans="1:17" s="15" customFormat="1" ht="26.25" customHeight="1" x14ac:dyDescent="0.2">
      <c r="A292" s="43" t="s">
        <v>887</v>
      </c>
      <c r="B292" s="46" t="s">
        <v>17</v>
      </c>
      <c r="C292" s="44" t="s">
        <v>891</v>
      </c>
      <c r="D292" s="34">
        <v>4680</v>
      </c>
      <c r="E292" s="46" t="s">
        <v>882</v>
      </c>
      <c r="F292" s="35">
        <v>12885</v>
      </c>
      <c r="G292" s="40">
        <v>12885</v>
      </c>
      <c r="H292" s="35">
        <v>0</v>
      </c>
      <c r="I292" s="35">
        <f t="shared" si="48"/>
        <v>12885</v>
      </c>
      <c r="J292" s="36">
        <f t="shared" si="49"/>
        <v>0</v>
      </c>
      <c r="K292" s="48" t="s">
        <v>37</v>
      </c>
      <c r="L292" s="48" t="s">
        <v>37</v>
      </c>
      <c r="M292" s="38">
        <v>41243</v>
      </c>
      <c r="N292" s="37"/>
      <c r="O292" s="35">
        <v>12885</v>
      </c>
      <c r="P292" s="35"/>
      <c r="Q292" s="35"/>
    </row>
    <row r="293" spans="1:17" s="15" customFormat="1" ht="26.25" customHeight="1" x14ac:dyDescent="0.2">
      <c r="A293" s="43" t="s">
        <v>888</v>
      </c>
      <c r="B293" s="46" t="s">
        <v>39</v>
      </c>
      <c r="C293" s="44" t="s">
        <v>230</v>
      </c>
      <c r="D293" s="34">
        <v>4806</v>
      </c>
      <c r="E293" s="46" t="s">
        <v>883</v>
      </c>
      <c r="F293" s="35">
        <v>35273</v>
      </c>
      <c r="G293" s="40">
        <v>35273</v>
      </c>
      <c r="H293" s="35">
        <v>0</v>
      </c>
      <c r="I293" s="35">
        <f t="shared" si="48"/>
        <v>35273</v>
      </c>
      <c r="J293" s="36">
        <f t="shared" si="49"/>
        <v>0</v>
      </c>
      <c r="K293" s="48" t="s">
        <v>37</v>
      </c>
      <c r="L293" s="48" t="s">
        <v>37</v>
      </c>
      <c r="M293" s="38">
        <v>41614</v>
      </c>
      <c r="N293" s="37"/>
      <c r="O293" s="35">
        <v>35273</v>
      </c>
      <c r="P293" s="35"/>
      <c r="Q293" s="35"/>
    </row>
    <row r="294" spans="1:17" s="15" customFormat="1" ht="26.25" customHeight="1" x14ac:dyDescent="0.2">
      <c r="A294" s="43" t="s">
        <v>889</v>
      </c>
      <c r="B294" s="46" t="s">
        <v>17</v>
      </c>
      <c r="C294" s="44" t="s">
        <v>112</v>
      </c>
      <c r="D294" s="34">
        <v>4746</v>
      </c>
      <c r="E294" s="46" t="s">
        <v>884</v>
      </c>
      <c r="F294" s="35">
        <v>29820</v>
      </c>
      <c r="G294" s="40">
        <v>10080</v>
      </c>
      <c r="H294" s="35">
        <f>10080+29820</f>
        <v>39900</v>
      </c>
      <c r="I294" s="35">
        <f t="shared" si="48"/>
        <v>49980</v>
      </c>
      <c r="J294" s="36">
        <f t="shared" si="49"/>
        <v>3.9583333333333335</v>
      </c>
      <c r="K294" s="48" t="s">
        <v>37</v>
      </c>
      <c r="L294" s="48" t="s">
        <v>37</v>
      </c>
      <c r="M294" s="38">
        <v>41455</v>
      </c>
      <c r="N294" s="48" t="s">
        <v>36</v>
      </c>
      <c r="O294" s="35">
        <v>29820</v>
      </c>
      <c r="P294" s="35"/>
      <c r="Q294" s="35"/>
    </row>
    <row r="295" spans="1:17" s="15" customFormat="1" ht="26.25" customHeight="1" x14ac:dyDescent="0.2">
      <c r="A295" s="43" t="s">
        <v>890</v>
      </c>
      <c r="B295" s="46" t="s">
        <v>17</v>
      </c>
      <c r="C295" s="44" t="s">
        <v>892</v>
      </c>
      <c r="D295" s="34">
        <v>4071</v>
      </c>
      <c r="E295" s="46" t="s">
        <v>885</v>
      </c>
      <c r="F295" s="35">
        <f>15000*3</f>
        <v>45000</v>
      </c>
      <c r="G295" s="40">
        <f>15000*3</f>
        <v>45000</v>
      </c>
      <c r="H295" s="35">
        <v>0</v>
      </c>
      <c r="I295" s="35">
        <f t="shared" si="48"/>
        <v>45000</v>
      </c>
      <c r="J295" s="36">
        <f t="shared" si="49"/>
        <v>0</v>
      </c>
      <c r="K295" s="48" t="s">
        <v>37</v>
      </c>
      <c r="L295" s="48" t="s">
        <v>37</v>
      </c>
      <c r="M295" s="38">
        <v>41455</v>
      </c>
      <c r="N295" s="48" t="s">
        <v>64</v>
      </c>
      <c r="O295" s="35">
        <v>15000</v>
      </c>
      <c r="P295" s="35">
        <v>15000</v>
      </c>
      <c r="Q295" s="35">
        <v>15000</v>
      </c>
    </row>
    <row r="296" spans="1:17" s="15" customFormat="1" ht="18" customHeight="1" x14ac:dyDescent="0.2">
      <c r="A296" s="43" t="s">
        <v>893</v>
      </c>
      <c r="B296" s="46" t="s">
        <v>20</v>
      </c>
      <c r="C296" s="44" t="s">
        <v>904</v>
      </c>
      <c r="D296" s="34">
        <v>5040</v>
      </c>
      <c r="E296" s="46" t="s">
        <v>909</v>
      </c>
      <c r="F296" s="35">
        <f>23000*3</f>
        <v>69000</v>
      </c>
      <c r="G296" s="40">
        <f>23000*3</f>
        <v>69000</v>
      </c>
      <c r="H296" s="35">
        <v>0</v>
      </c>
      <c r="I296" s="35">
        <f t="shared" si="48"/>
        <v>69000</v>
      </c>
      <c r="J296" s="36">
        <f t="shared" si="49"/>
        <v>0</v>
      </c>
      <c r="K296" s="48" t="s">
        <v>37</v>
      </c>
      <c r="L296" s="48" t="s">
        <v>42</v>
      </c>
      <c r="M296" s="38">
        <v>41609</v>
      </c>
      <c r="N296" s="48" t="s">
        <v>64</v>
      </c>
      <c r="O296" s="35">
        <v>23000</v>
      </c>
      <c r="P296" s="35">
        <v>23000</v>
      </c>
      <c r="Q296" s="35">
        <v>23000</v>
      </c>
    </row>
    <row r="297" spans="1:17" s="15" customFormat="1" ht="26.25" customHeight="1" x14ac:dyDescent="0.2">
      <c r="A297" s="43" t="s">
        <v>894</v>
      </c>
      <c r="B297" s="46" t="s">
        <v>40</v>
      </c>
      <c r="C297" s="44" t="s">
        <v>1046</v>
      </c>
      <c r="D297" s="34">
        <v>4856</v>
      </c>
      <c r="E297" s="46" t="s">
        <v>910</v>
      </c>
      <c r="F297" s="35">
        <v>44500</v>
      </c>
      <c r="G297" s="40">
        <v>44500</v>
      </c>
      <c r="H297" s="35">
        <v>0</v>
      </c>
      <c r="I297" s="35">
        <f t="shared" ref="I297:I306" si="50">G297+H297</f>
        <v>44500</v>
      </c>
      <c r="J297" s="36">
        <f t="shared" ref="J297:J306" si="51">IF(G297=0,100%,(I297-G297)/G297)</f>
        <v>0</v>
      </c>
      <c r="K297" s="48" t="s">
        <v>37</v>
      </c>
      <c r="L297" s="48" t="s">
        <v>37</v>
      </c>
      <c r="M297" s="38">
        <v>41305</v>
      </c>
      <c r="N297" s="37"/>
      <c r="O297" s="35">
        <v>44500</v>
      </c>
      <c r="P297" s="35"/>
      <c r="Q297" s="35"/>
    </row>
    <row r="298" spans="1:17" s="15" customFormat="1" ht="26.25" customHeight="1" x14ac:dyDescent="0.2">
      <c r="A298" s="43" t="s">
        <v>895</v>
      </c>
      <c r="B298" s="46" t="s">
        <v>45</v>
      </c>
      <c r="C298" s="44" t="s">
        <v>905</v>
      </c>
      <c r="D298" s="34">
        <v>4982</v>
      </c>
      <c r="E298" s="46" t="s">
        <v>911</v>
      </c>
      <c r="F298" s="35">
        <v>9802</v>
      </c>
      <c r="G298" s="40">
        <v>9802</v>
      </c>
      <c r="H298" s="35">
        <v>0</v>
      </c>
      <c r="I298" s="35">
        <f t="shared" si="50"/>
        <v>9802</v>
      </c>
      <c r="J298" s="36">
        <f t="shared" si="51"/>
        <v>0</v>
      </c>
      <c r="K298" s="48" t="s">
        <v>37</v>
      </c>
      <c r="L298" s="48" t="s">
        <v>37</v>
      </c>
      <c r="M298" s="38">
        <v>41305</v>
      </c>
      <c r="N298" s="37"/>
      <c r="O298" s="35">
        <v>9802</v>
      </c>
      <c r="P298" s="35"/>
      <c r="Q298" s="35"/>
    </row>
    <row r="299" spans="1:17" s="15" customFormat="1" ht="26.25" customHeight="1" x14ac:dyDescent="0.2">
      <c r="A299" s="43" t="s">
        <v>896</v>
      </c>
      <c r="B299" s="46" t="s">
        <v>903</v>
      </c>
      <c r="C299" s="44" t="s">
        <v>906</v>
      </c>
      <c r="D299" s="34">
        <v>4819</v>
      </c>
      <c r="E299" s="46" t="s">
        <v>912</v>
      </c>
      <c r="F299" s="35">
        <v>47600</v>
      </c>
      <c r="G299" s="40">
        <v>47600</v>
      </c>
      <c r="H299" s="35">
        <v>0</v>
      </c>
      <c r="I299" s="35">
        <f t="shared" si="50"/>
        <v>47600</v>
      </c>
      <c r="J299" s="36">
        <f t="shared" si="51"/>
        <v>0</v>
      </c>
      <c r="K299" s="48" t="s">
        <v>37</v>
      </c>
      <c r="L299" s="48" t="s">
        <v>37</v>
      </c>
      <c r="M299" s="38">
        <v>41274</v>
      </c>
      <c r="N299" s="37"/>
      <c r="O299" s="35">
        <v>47600</v>
      </c>
      <c r="P299" s="35"/>
      <c r="Q299" s="35"/>
    </row>
    <row r="300" spans="1:17" s="15" customFormat="1" ht="26.25" customHeight="1" x14ac:dyDescent="0.2">
      <c r="A300" s="43" t="s">
        <v>897</v>
      </c>
      <c r="B300" s="46" t="s">
        <v>46</v>
      </c>
      <c r="C300" s="44" t="s">
        <v>88</v>
      </c>
      <c r="D300" s="34">
        <v>5079</v>
      </c>
      <c r="E300" s="46" t="s">
        <v>913</v>
      </c>
      <c r="F300" s="35">
        <v>12723</v>
      </c>
      <c r="G300" s="40">
        <v>12723</v>
      </c>
      <c r="H300" s="35">
        <v>0</v>
      </c>
      <c r="I300" s="35">
        <f t="shared" si="50"/>
        <v>12723</v>
      </c>
      <c r="J300" s="36">
        <f t="shared" si="51"/>
        <v>0</v>
      </c>
      <c r="K300" s="48" t="s">
        <v>37</v>
      </c>
      <c r="L300" s="48" t="s">
        <v>42</v>
      </c>
      <c r="M300" s="38">
        <v>41455</v>
      </c>
      <c r="N300" s="37"/>
      <c r="O300" s="35">
        <v>12723</v>
      </c>
      <c r="P300" s="35"/>
      <c r="Q300" s="35"/>
    </row>
    <row r="301" spans="1:17" s="15" customFormat="1" ht="26.25" customHeight="1" x14ac:dyDescent="0.2">
      <c r="A301" s="43" t="s">
        <v>898</v>
      </c>
      <c r="B301" s="46" t="s">
        <v>46</v>
      </c>
      <c r="C301" s="44" t="s">
        <v>907</v>
      </c>
      <c r="D301" s="34">
        <v>5080</v>
      </c>
      <c r="E301" s="46" t="s">
        <v>914</v>
      </c>
      <c r="F301" s="35">
        <v>16725</v>
      </c>
      <c r="G301" s="40">
        <v>16725</v>
      </c>
      <c r="H301" s="35">
        <v>0</v>
      </c>
      <c r="I301" s="35">
        <f t="shared" si="50"/>
        <v>16725</v>
      </c>
      <c r="J301" s="36">
        <f t="shared" si="51"/>
        <v>0</v>
      </c>
      <c r="K301" s="48" t="s">
        <v>37</v>
      </c>
      <c r="L301" s="48" t="s">
        <v>42</v>
      </c>
      <c r="M301" s="38">
        <v>41455</v>
      </c>
      <c r="N301" s="37"/>
      <c r="O301" s="35">
        <v>16725</v>
      </c>
      <c r="P301" s="35"/>
      <c r="Q301" s="35"/>
    </row>
    <row r="302" spans="1:17" s="15" customFormat="1" ht="26.25" customHeight="1" x14ac:dyDescent="0.2">
      <c r="A302" s="43" t="s">
        <v>899</v>
      </c>
      <c r="B302" s="46" t="s">
        <v>46</v>
      </c>
      <c r="C302" s="44" t="s">
        <v>52</v>
      </c>
      <c r="D302" s="34">
        <v>5081</v>
      </c>
      <c r="E302" s="46" t="s">
        <v>915</v>
      </c>
      <c r="F302" s="35">
        <v>35439</v>
      </c>
      <c r="G302" s="40">
        <v>35439</v>
      </c>
      <c r="H302" s="35">
        <v>0</v>
      </c>
      <c r="I302" s="35">
        <f t="shared" si="50"/>
        <v>35439</v>
      </c>
      <c r="J302" s="36">
        <f t="shared" si="51"/>
        <v>0</v>
      </c>
      <c r="K302" s="48" t="s">
        <v>37</v>
      </c>
      <c r="L302" s="48" t="s">
        <v>42</v>
      </c>
      <c r="M302" s="38">
        <v>41455</v>
      </c>
      <c r="N302" s="37"/>
      <c r="O302" s="35">
        <v>35439</v>
      </c>
      <c r="P302" s="35"/>
      <c r="Q302" s="35"/>
    </row>
    <row r="303" spans="1:17" s="15" customFormat="1" ht="26.25" customHeight="1" x14ac:dyDescent="0.2">
      <c r="A303" s="43" t="s">
        <v>900</v>
      </c>
      <c r="B303" s="46" t="s">
        <v>18</v>
      </c>
      <c r="C303" s="44" t="s">
        <v>713</v>
      </c>
      <c r="D303" s="34">
        <v>5087</v>
      </c>
      <c r="E303" s="46" t="s">
        <v>916</v>
      </c>
      <c r="F303" s="35">
        <v>10000</v>
      </c>
      <c r="G303" s="40">
        <v>5000</v>
      </c>
      <c r="H303" s="35">
        <f>15000+10000</f>
        <v>25000</v>
      </c>
      <c r="I303" s="35">
        <f t="shared" si="50"/>
        <v>30000</v>
      </c>
      <c r="J303" s="36">
        <f t="shared" si="51"/>
        <v>5</v>
      </c>
      <c r="K303" s="48" t="s">
        <v>37</v>
      </c>
      <c r="L303" s="48" t="s">
        <v>37</v>
      </c>
      <c r="M303" s="52" t="s">
        <v>69</v>
      </c>
      <c r="N303" s="48" t="s">
        <v>36</v>
      </c>
      <c r="O303" s="35">
        <v>10000</v>
      </c>
      <c r="P303" s="35"/>
      <c r="Q303" s="35"/>
    </row>
    <row r="304" spans="1:17" s="15" customFormat="1" ht="26.25" customHeight="1" x14ac:dyDescent="0.2">
      <c r="A304" s="43" t="s">
        <v>901</v>
      </c>
      <c r="B304" s="46" t="s">
        <v>39</v>
      </c>
      <c r="C304" s="44" t="s">
        <v>908</v>
      </c>
      <c r="D304" s="34">
        <v>5110</v>
      </c>
      <c r="E304" s="46" t="s">
        <v>918</v>
      </c>
      <c r="F304" s="35">
        <f>47819*3</f>
        <v>143457</v>
      </c>
      <c r="G304" s="40">
        <f>47819*3</f>
        <v>143457</v>
      </c>
      <c r="H304" s="35">
        <v>0</v>
      </c>
      <c r="I304" s="35">
        <f t="shared" si="50"/>
        <v>143457</v>
      </c>
      <c r="J304" s="36">
        <f t="shared" si="51"/>
        <v>0</v>
      </c>
      <c r="K304" s="48" t="s">
        <v>37</v>
      </c>
      <c r="L304" s="48" t="s">
        <v>37</v>
      </c>
      <c r="M304" s="38">
        <v>41455</v>
      </c>
      <c r="N304" s="48" t="s">
        <v>64</v>
      </c>
      <c r="O304" s="35">
        <v>47819</v>
      </c>
      <c r="P304" s="35">
        <v>47819</v>
      </c>
      <c r="Q304" s="35">
        <v>47819</v>
      </c>
    </row>
    <row r="305" spans="1:17" s="15" customFormat="1" ht="26.25" customHeight="1" x14ac:dyDescent="0.2">
      <c r="A305" s="43" t="s">
        <v>902</v>
      </c>
      <c r="B305" s="46" t="s">
        <v>17</v>
      </c>
      <c r="C305" s="44" t="s">
        <v>285</v>
      </c>
      <c r="D305" s="34">
        <v>4943</v>
      </c>
      <c r="E305" s="46" t="s">
        <v>917</v>
      </c>
      <c r="F305" s="35">
        <v>49000</v>
      </c>
      <c r="G305" s="40">
        <v>49000</v>
      </c>
      <c r="H305" s="35">
        <v>0</v>
      </c>
      <c r="I305" s="35">
        <f t="shared" si="50"/>
        <v>49000</v>
      </c>
      <c r="J305" s="36">
        <f t="shared" si="51"/>
        <v>0</v>
      </c>
      <c r="K305" s="48" t="s">
        <v>37</v>
      </c>
      <c r="L305" s="48" t="s">
        <v>37</v>
      </c>
      <c r="M305" s="38">
        <v>41455</v>
      </c>
      <c r="N305" s="37"/>
      <c r="O305" s="35">
        <v>49000</v>
      </c>
      <c r="P305" s="35"/>
      <c r="Q305" s="35"/>
    </row>
    <row r="306" spans="1:17" s="15" customFormat="1" ht="26.25" customHeight="1" x14ac:dyDescent="0.2">
      <c r="A306" s="43" t="s">
        <v>919</v>
      </c>
      <c r="B306" s="46" t="s">
        <v>39</v>
      </c>
      <c r="C306" s="44" t="s">
        <v>230</v>
      </c>
      <c r="D306" s="34">
        <v>5157</v>
      </c>
      <c r="E306" s="46" t="s">
        <v>929</v>
      </c>
      <c r="F306" s="35">
        <v>22500</v>
      </c>
      <c r="G306" s="40">
        <v>22500</v>
      </c>
      <c r="H306" s="35">
        <v>0</v>
      </c>
      <c r="I306" s="35">
        <f t="shared" si="50"/>
        <v>22500</v>
      </c>
      <c r="J306" s="36">
        <f t="shared" si="51"/>
        <v>0</v>
      </c>
      <c r="K306" s="48" t="s">
        <v>37</v>
      </c>
      <c r="L306" s="48" t="s">
        <v>42</v>
      </c>
      <c r="M306" s="38">
        <v>41455</v>
      </c>
      <c r="N306" s="37"/>
      <c r="O306" s="35">
        <v>22500</v>
      </c>
      <c r="P306" s="35"/>
      <c r="Q306" s="35"/>
    </row>
    <row r="307" spans="1:17" s="15" customFormat="1" ht="26.25" customHeight="1" x14ac:dyDescent="0.2">
      <c r="A307" s="43" t="s">
        <v>920</v>
      </c>
      <c r="B307" s="46" t="s">
        <v>40</v>
      </c>
      <c r="C307" s="44" t="s">
        <v>925</v>
      </c>
      <c r="D307" s="34">
        <v>5015</v>
      </c>
      <c r="E307" s="46" t="s">
        <v>930</v>
      </c>
      <c r="F307" s="35">
        <f>12000*3</f>
        <v>36000</v>
      </c>
      <c r="G307" s="40">
        <f>12000*3</f>
        <v>36000</v>
      </c>
      <c r="H307" s="35">
        <v>0</v>
      </c>
      <c r="I307" s="35">
        <f t="shared" ref="I307:I312" si="52">G307+H307</f>
        <v>36000</v>
      </c>
      <c r="J307" s="36">
        <f t="shared" ref="J307:J312" si="53">IF(G307=0,100%,(I307-G307)/G307)</f>
        <v>0</v>
      </c>
      <c r="K307" s="48" t="s">
        <v>37</v>
      </c>
      <c r="L307" s="48" t="s">
        <v>42</v>
      </c>
      <c r="M307" s="38">
        <v>41455</v>
      </c>
      <c r="N307" s="48" t="s">
        <v>64</v>
      </c>
      <c r="O307" s="35">
        <v>12000</v>
      </c>
      <c r="P307" s="35">
        <v>12000</v>
      </c>
      <c r="Q307" s="35">
        <v>12000</v>
      </c>
    </row>
    <row r="308" spans="1:17" s="15" customFormat="1" ht="26.25" customHeight="1" x14ac:dyDescent="0.2">
      <c r="A308" s="43" t="s">
        <v>921</v>
      </c>
      <c r="B308" s="46" t="s">
        <v>18</v>
      </c>
      <c r="C308" s="44" t="s">
        <v>926</v>
      </c>
      <c r="D308" s="34">
        <v>5019</v>
      </c>
      <c r="E308" s="46" t="s">
        <v>931</v>
      </c>
      <c r="F308" s="35">
        <v>20000</v>
      </c>
      <c r="G308" s="40">
        <v>4999</v>
      </c>
      <c r="H308" s="35">
        <f>10000+20000</f>
        <v>30000</v>
      </c>
      <c r="I308" s="35">
        <f t="shared" si="52"/>
        <v>34999</v>
      </c>
      <c r="J308" s="36">
        <f t="shared" si="53"/>
        <v>6.0012002400480098</v>
      </c>
      <c r="K308" s="48" t="s">
        <v>37</v>
      </c>
      <c r="L308" s="48" t="s">
        <v>37</v>
      </c>
      <c r="M308" s="52" t="s">
        <v>69</v>
      </c>
      <c r="N308" s="48" t="s">
        <v>36</v>
      </c>
      <c r="O308" s="35">
        <v>20000</v>
      </c>
      <c r="P308" s="35"/>
      <c r="Q308" s="35"/>
    </row>
    <row r="309" spans="1:17" s="15" customFormat="1" ht="26.25" customHeight="1" x14ac:dyDescent="0.2">
      <c r="A309" s="43" t="s">
        <v>922</v>
      </c>
      <c r="B309" s="46" t="s">
        <v>17</v>
      </c>
      <c r="C309" s="44" t="s">
        <v>927</v>
      </c>
      <c r="D309" s="34">
        <v>5032</v>
      </c>
      <c r="E309" s="46" t="s">
        <v>932</v>
      </c>
      <c r="F309" s="35">
        <v>11690</v>
      </c>
      <c r="G309" s="40">
        <v>11690</v>
      </c>
      <c r="H309" s="35">
        <v>0</v>
      </c>
      <c r="I309" s="35">
        <f t="shared" si="52"/>
        <v>11690</v>
      </c>
      <c r="J309" s="36">
        <f t="shared" si="53"/>
        <v>0</v>
      </c>
      <c r="K309" s="48" t="s">
        <v>37</v>
      </c>
      <c r="L309" s="48" t="s">
        <v>37</v>
      </c>
      <c r="M309" s="38">
        <v>41455</v>
      </c>
      <c r="N309" s="37"/>
      <c r="O309" s="35">
        <v>11690</v>
      </c>
      <c r="P309" s="35"/>
      <c r="Q309" s="35"/>
    </row>
    <row r="310" spans="1:17" s="15" customFormat="1" ht="26.25" customHeight="1" x14ac:dyDescent="0.2">
      <c r="A310" s="43" t="s">
        <v>923</v>
      </c>
      <c r="B310" s="46" t="s">
        <v>39</v>
      </c>
      <c r="C310" s="44" t="s">
        <v>646</v>
      </c>
      <c r="D310" s="34">
        <v>5131</v>
      </c>
      <c r="E310" s="46" t="s">
        <v>934</v>
      </c>
      <c r="F310" s="35">
        <f>16332*3</f>
        <v>48996</v>
      </c>
      <c r="G310" s="40">
        <f>16332*3</f>
        <v>48996</v>
      </c>
      <c r="H310" s="35">
        <v>0</v>
      </c>
      <c r="I310" s="35">
        <f t="shared" si="52"/>
        <v>48996</v>
      </c>
      <c r="J310" s="36">
        <f t="shared" si="53"/>
        <v>0</v>
      </c>
      <c r="K310" s="48" t="s">
        <v>37</v>
      </c>
      <c r="L310" s="48" t="s">
        <v>37</v>
      </c>
      <c r="M310" s="38">
        <v>41608</v>
      </c>
      <c r="N310" s="48" t="s">
        <v>64</v>
      </c>
      <c r="O310" s="35">
        <v>16332</v>
      </c>
      <c r="P310" s="35">
        <v>16332</v>
      </c>
      <c r="Q310" s="35">
        <v>16332</v>
      </c>
    </row>
    <row r="311" spans="1:17" s="15" customFormat="1" ht="26.25" customHeight="1" x14ac:dyDescent="0.2">
      <c r="A311" s="43" t="s">
        <v>924</v>
      </c>
      <c r="B311" s="46" t="s">
        <v>17</v>
      </c>
      <c r="C311" s="44" t="s">
        <v>928</v>
      </c>
      <c r="D311" s="34">
        <v>5085</v>
      </c>
      <c r="E311" s="46" t="s">
        <v>933</v>
      </c>
      <c r="F311" s="35">
        <v>6761</v>
      </c>
      <c r="G311" s="40">
        <v>6761</v>
      </c>
      <c r="H311" s="35">
        <v>0</v>
      </c>
      <c r="I311" s="35">
        <f t="shared" si="52"/>
        <v>6761</v>
      </c>
      <c r="J311" s="36">
        <f t="shared" si="53"/>
        <v>0</v>
      </c>
      <c r="K311" s="48" t="s">
        <v>37</v>
      </c>
      <c r="L311" s="48" t="s">
        <v>37</v>
      </c>
      <c r="M311" s="38">
        <v>41364</v>
      </c>
      <c r="N311" s="37"/>
      <c r="O311" s="35">
        <v>6761</v>
      </c>
      <c r="P311" s="35"/>
      <c r="Q311" s="35"/>
    </row>
    <row r="312" spans="1:17" s="15" customFormat="1" ht="26.25" customHeight="1" x14ac:dyDescent="0.2">
      <c r="A312" s="43" t="s">
        <v>935</v>
      </c>
      <c r="B312" s="46" t="s">
        <v>80</v>
      </c>
      <c r="C312" s="44" t="s">
        <v>942</v>
      </c>
      <c r="D312" s="34">
        <v>5119</v>
      </c>
      <c r="E312" s="46" t="s">
        <v>949</v>
      </c>
      <c r="F312" s="35">
        <v>96000</v>
      </c>
      <c r="G312" s="40">
        <v>96000</v>
      </c>
      <c r="H312" s="35">
        <v>0</v>
      </c>
      <c r="I312" s="35">
        <f t="shared" si="52"/>
        <v>96000</v>
      </c>
      <c r="J312" s="36">
        <f t="shared" si="53"/>
        <v>0</v>
      </c>
      <c r="K312" s="48" t="s">
        <v>37</v>
      </c>
      <c r="L312" s="48" t="s">
        <v>37</v>
      </c>
      <c r="M312" s="38">
        <v>41455</v>
      </c>
      <c r="N312" s="37"/>
      <c r="O312" s="35">
        <v>96000</v>
      </c>
      <c r="P312" s="35"/>
      <c r="Q312" s="35"/>
    </row>
    <row r="313" spans="1:17" s="15" customFormat="1" ht="26.25" customHeight="1" x14ac:dyDescent="0.2">
      <c r="A313" s="43" t="s">
        <v>936</v>
      </c>
      <c r="B313" s="46" t="s">
        <v>49</v>
      </c>
      <c r="C313" s="44" t="s">
        <v>943</v>
      </c>
      <c r="D313" s="34">
        <v>5055</v>
      </c>
      <c r="E313" s="46" t="s">
        <v>724</v>
      </c>
      <c r="F313" s="35">
        <v>95000</v>
      </c>
      <c r="G313" s="40">
        <v>95000</v>
      </c>
      <c r="H313" s="35">
        <v>0</v>
      </c>
      <c r="I313" s="35">
        <f t="shared" ref="I313:I318" si="54">G313+H313</f>
        <v>95000</v>
      </c>
      <c r="J313" s="36">
        <f t="shared" ref="J313:J318" si="55">IF(G313=0,100%,(I313-G313)/G313)</f>
        <v>0</v>
      </c>
      <c r="K313" s="48" t="s">
        <v>37</v>
      </c>
      <c r="L313" s="48" t="s">
        <v>42</v>
      </c>
      <c r="M313" s="38">
        <v>41455</v>
      </c>
      <c r="N313" s="37"/>
      <c r="O313" s="35">
        <v>95000</v>
      </c>
      <c r="P313" s="35"/>
      <c r="Q313" s="35"/>
    </row>
    <row r="314" spans="1:17" s="15" customFormat="1" ht="26.25" customHeight="1" x14ac:dyDescent="0.2">
      <c r="A314" s="43" t="s">
        <v>937</v>
      </c>
      <c r="B314" s="46" t="s">
        <v>72</v>
      </c>
      <c r="C314" s="44" t="s">
        <v>944</v>
      </c>
      <c r="D314" s="34">
        <v>4752</v>
      </c>
      <c r="E314" s="46" t="s">
        <v>950</v>
      </c>
      <c r="F314" s="35">
        <f>64973+7475+7475</f>
        <v>79923</v>
      </c>
      <c r="G314" s="40">
        <f>64973+7475+7475</f>
        <v>79923</v>
      </c>
      <c r="H314" s="35">
        <v>0</v>
      </c>
      <c r="I314" s="35">
        <f t="shared" si="54"/>
        <v>79923</v>
      </c>
      <c r="J314" s="36">
        <f t="shared" si="55"/>
        <v>0</v>
      </c>
      <c r="K314" s="48" t="s">
        <v>37</v>
      </c>
      <c r="L314" s="48" t="s">
        <v>42</v>
      </c>
      <c r="M314" s="38">
        <v>41603</v>
      </c>
      <c r="N314" s="48" t="s">
        <v>64</v>
      </c>
      <c r="O314" s="35">
        <v>64973</v>
      </c>
      <c r="P314" s="35">
        <v>7475</v>
      </c>
      <c r="Q314" s="35">
        <v>7475</v>
      </c>
    </row>
    <row r="315" spans="1:17" s="15" customFormat="1" ht="26.25" customHeight="1" x14ac:dyDescent="0.2">
      <c r="A315" s="43" t="s">
        <v>938</v>
      </c>
      <c r="B315" s="46" t="s">
        <v>26</v>
      </c>
      <c r="C315" s="44" t="s">
        <v>945</v>
      </c>
      <c r="D315" s="47" t="s">
        <v>41</v>
      </c>
      <c r="E315" s="46" t="s">
        <v>951</v>
      </c>
      <c r="F315" s="35">
        <v>99000</v>
      </c>
      <c r="G315" s="40">
        <v>99000</v>
      </c>
      <c r="H315" s="35">
        <v>0</v>
      </c>
      <c r="I315" s="35">
        <f t="shared" si="54"/>
        <v>99000</v>
      </c>
      <c r="J315" s="36">
        <f t="shared" si="55"/>
        <v>0</v>
      </c>
      <c r="K315" s="48" t="s">
        <v>37</v>
      </c>
      <c r="L315" s="48" t="s">
        <v>37</v>
      </c>
      <c r="M315" s="38">
        <v>41455</v>
      </c>
      <c r="N315" s="37"/>
      <c r="O315" s="35">
        <v>99000</v>
      </c>
      <c r="P315" s="35"/>
      <c r="Q315" s="35"/>
    </row>
    <row r="316" spans="1:17" s="15" customFormat="1" ht="38.25" customHeight="1" x14ac:dyDescent="0.2">
      <c r="A316" s="43" t="s">
        <v>939</v>
      </c>
      <c r="B316" s="46" t="s">
        <v>80</v>
      </c>
      <c r="C316" s="44" t="s">
        <v>946</v>
      </c>
      <c r="D316" s="34">
        <v>4571</v>
      </c>
      <c r="E316" s="46" t="s">
        <v>952</v>
      </c>
      <c r="F316" s="35">
        <v>60000</v>
      </c>
      <c r="G316" s="40">
        <v>60000</v>
      </c>
      <c r="H316" s="35">
        <v>0</v>
      </c>
      <c r="I316" s="35">
        <f t="shared" si="54"/>
        <v>60000</v>
      </c>
      <c r="J316" s="36">
        <f t="shared" si="55"/>
        <v>0</v>
      </c>
      <c r="K316" s="48" t="s">
        <v>37</v>
      </c>
      <c r="L316" s="48" t="s">
        <v>37</v>
      </c>
      <c r="M316" s="38">
        <v>41364</v>
      </c>
      <c r="N316" s="37"/>
      <c r="O316" s="35">
        <v>60000</v>
      </c>
      <c r="P316" s="35"/>
      <c r="Q316" s="35"/>
    </row>
    <row r="317" spans="1:17" s="15" customFormat="1" ht="26.25" customHeight="1" x14ac:dyDescent="0.2">
      <c r="A317" s="43" t="s">
        <v>940</v>
      </c>
      <c r="B317" s="46" t="s">
        <v>76</v>
      </c>
      <c r="C317" s="44" t="s">
        <v>947</v>
      </c>
      <c r="D317" s="34">
        <v>4969</v>
      </c>
      <c r="E317" s="46" t="s">
        <v>953</v>
      </c>
      <c r="F317" s="35">
        <v>77185</v>
      </c>
      <c r="G317" s="40">
        <v>77185</v>
      </c>
      <c r="H317" s="35">
        <v>0</v>
      </c>
      <c r="I317" s="35">
        <f t="shared" si="54"/>
        <v>77185</v>
      </c>
      <c r="J317" s="36">
        <f t="shared" si="55"/>
        <v>0</v>
      </c>
      <c r="K317" s="48" t="s">
        <v>37</v>
      </c>
      <c r="L317" s="48" t="s">
        <v>37</v>
      </c>
      <c r="M317" s="38">
        <v>41455</v>
      </c>
      <c r="N317" s="37"/>
      <c r="O317" s="35">
        <v>77185</v>
      </c>
      <c r="P317" s="35"/>
      <c r="Q317" s="35"/>
    </row>
    <row r="318" spans="1:17" s="15" customFormat="1" ht="26.25" customHeight="1" x14ac:dyDescent="0.2">
      <c r="A318" s="43" t="s">
        <v>941</v>
      </c>
      <c r="B318" s="46" t="s">
        <v>39</v>
      </c>
      <c r="C318" s="44" t="s">
        <v>948</v>
      </c>
      <c r="D318" s="34">
        <v>5153</v>
      </c>
      <c r="E318" s="46" t="s">
        <v>954</v>
      </c>
      <c r="F318" s="35">
        <v>69600</v>
      </c>
      <c r="G318" s="40">
        <v>69600</v>
      </c>
      <c r="H318" s="35">
        <v>0</v>
      </c>
      <c r="I318" s="35">
        <f t="shared" si="54"/>
        <v>69600</v>
      </c>
      <c r="J318" s="36">
        <f t="shared" si="55"/>
        <v>0</v>
      </c>
      <c r="K318" s="48" t="s">
        <v>37</v>
      </c>
      <c r="L318" s="48" t="s">
        <v>42</v>
      </c>
      <c r="M318" s="38">
        <v>41455</v>
      </c>
      <c r="N318" s="37"/>
      <c r="O318" s="35">
        <v>69600</v>
      </c>
      <c r="P318" s="35"/>
      <c r="Q318" s="35"/>
    </row>
    <row r="319" spans="1:17" s="15" customFormat="1" ht="26.25" customHeight="1" x14ac:dyDescent="0.2">
      <c r="A319" s="43" t="s">
        <v>955</v>
      </c>
      <c r="B319" s="46" t="s">
        <v>18</v>
      </c>
      <c r="C319" s="44" t="s">
        <v>680</v>
      </c>
      <c r="D319" s="34">
        <v>5023</v>
      </c>
      <c r="E319" s="46" t="s">
        <v>961</v>
      </c>
      <c r="F319" s="35">
        <v>10000</v>
      </c>
      <c r="G319" s="40">
        <v>5000</v>
      </c>
      <c r="H319" s="35">
        <f>10000+10000</f>
        <v>20000</v>
      </c>
      <c r="I319" s="35">
        <f t="shared" ref="I319:I329" si="56">G319+H319</f>
        <v>25000</v>
      </c>
      <c r="J319" s="36">
        <f t="shared" ref="J319:J329" si="57">IF(G319=0,100%,(I319-G319)/G319)</f>
        <v>4</v>
      </c>
      <c r="K319" s="48" t="s">
        <v>37</v>
      </c>
      <c r="L319" s="48" t="s">
        <v>37</v>
      </c>
      <c r="M319" s="52" t="s">
        <v>69</v>
      </c>
      <c r="N319" s="48" t="s">
        <v>36</v>
      </c>
      <c r="O319" s="35">
        <v>10000</v>
      </c>
      <c r="P319" s="35"/>
      <c r="Q319" s="35"/>
    </row>
    <row r="320" spans="1:17" s="15" customFormat="1" ht="26.25" customHeight="1" x14ac:dyDescent="0.2">
      <c r="A320" s="43" t="s">
        <v>956</v>
      </c>
      <c r="B320" s="46" t="s">
        <v>18</v>
      </c>
      <c r="C320" s="44" t="s">
        <v>966</v>
      </c>
      <c r="D320" s="34">
        <v>4965</v>
      </c>
      <c r="E320" s="46" t="s">
        <v>962</v>
      </c>
      <c r="F320" s="35">
        <v>20000</v>
      </c>
      <c r="G320" s="40">
        <v>5000</v>
      </c>
      <c r="H320" s="35">
        <v>20000</v>
      </c>
      <c r="I320" s="35">
        <f t="shared" si="56"/>
        <v>25000</v>
      </c>
      <c r="J320" s="36">
        <f t="shared" si="57"/>
        <v>4</v>
      </c>
      <c r="K320" s="48" t="s">
        <v>37</v>
      </c>
      <c r="L320" s="48" t="s">
        <v>37</v>
      </c>
      <c r="M320" s="52" t="s">
        <v>69</v>
      </c>
      <c r="N320" s="48" t="s">
        <v>36</v>
      </c>
      <c r="O320" s="35">
        <v>20000</v>
      </c>
      <c r="P320" s="35"/>
      <c r="Q320" s="35"/>
    </row>
    <row r="321" spans="1:17" s="15" customFormat="1" ht="26.25" customHeight="1" x14ac:dyDescent="0.2">
      <c r="A321" s="43" t="s">
        <v>957</v>
      </c>
      <c r="B321" s="46" t="s">
        <v>18</v>
      </c>
      <c r="C321" s="44" t="s">
        <v>967</v>
      </c>
      <c r="D321" s="34">
        <v>4962</v>
      </c>
      <c r="E321" s="46" t="s">
        <v>962</v>
      </c>
      <c r="F321" s="35">
        <v>15000</v>
      </c>
      <c r="G321" s="40">
        <v>5000</v>
      </c>
      <c r="H321" s="35">
        <v>15000</v>
      </c>
      <c r="I321" s="35">
        <f t="shared" si="56"/>
        <v>20000</v>
      </c>
      <c r="J321" s="36">
        <f t="shared" si="57"/>
        <v>3</v>
      </c>
      <c r="K321" s="48" t="s">
        <v>37</v>
      </c>
      <c r="L321" s="48" t="s">
        <v>37</v>
      </c>
      <c r="M321" s="52" t="s">
        <v>69</v>
      </c>
      <c r="N321" s="48" t="s">
        <v>36</v>
      </c>
      <c r="O321" s="35">
        <v>15000</v>
      </c>
      <c r="P321" s="35"/>
      <c r="Q321" s="35"/>
    </row>
    <row r="322" spans="1:17" s="15" customFormat="1" ht="26.25" customHeight="1" x14ac:dyDescent="0.2">
      <c r="A322" s="43" t="s">
        <v>958</v>
      </c>
      <c r="B322" s="46" t="s">
        <v>17</v>
      </c>
      <c r="C322" s="44" t="s">
        <v>968</v>
      </c>
      <c r="D322" s="34">
        <v>5159</v>
      </c>
      <c r="E322" s="46" t="s">
        <v>963</v>
      </c>
      <c r="F322" s="35">
        <v>46900</v>
      </c>
      <c r="G322" s="40">
        <v>702341</v>
      </c>
      <c r="H322" s="35">
        <v>46900</v>
      </c>
      <c r="I322" s="35">
        <f t="shared" si="56"/>
        <v>749241</v>
      </c>
      <c r="J322" s="36">
        <f t="shared" si="57"/>
        <v>6.6776679704018418E-2</v>
      </c>
      <c r="K322" s="48" t="s">
        <v>37</v>
      </c>
      <c r="L322" s="48" t="s">
        <v>37</v>
      </c>
      <c r="M322" s="38">
        <v>41384</v>
      </c>
      <c r="N322" s="48" t="s">
        <v>36</v>
      </c>
      <c r="O322" s="35">
        <v>46900</v>
      </c>
      <c r="P322" s="35"/>
      <c r="Q322" s="35"/>
    </row>
    <row r="323" spans="1:17" s="15" customFormat="1" ht="26.25" customHeight="1" x14ac:dyDescent="0.2">
      <c r="A323" s="43" t="s">
        <v>959</v>
      </c>
      <c r="B323" s="46" t="s">
        <v>40</v>
      </c>
      <c r="C323" s="44" t="s">
        <v>969</v>
      </c>
      <c r="D323" s="34">
        <v>5129</v>
      </c>
      <c r="E323" s="46" t="s">
        <v>964</v>
      </c>
      <c r="F323" s="35">
        <f>6500*3</f>
        <v>19500</v>
      </c>
      <c r="G323" s="40">
        <f>6500*3</f>
        <v>19500</v>
      </c>
      <c r="H323" s="35">
        <v>0</v>
      </c>
      <c r="I323" s="35">
        <f t="shared" si="56"/>
        <v>19500</v>
      </c>
      <c r="J323" s="36">
        <f t="shared" si="57"/>
        <v>0</v>
      </c>
      <c r="K323" s="48" t="s">
        <v>37</v>
      </c>
      <c r="L323" s="48" t="s">
        <v>37</v>
      </c>
      <c r="M323" s="38">
        <v>41455</v>
      </c>
      <c r="N323" s="48" t="s">
        <v>64</v>
      </c>
      <c r="O323" s="35">
        <v>6500</v>
      </c>
      <c r="P323" s="35">
        <v>6500</v>
      </c>
      <c r="Q323" s="35">
        <v>6500</v>
      </c>
    </row>
    <row r="324" spans="1:17" s="15" customFormat="1" ht="26.25" customHeight="1" x14ac:dyDescent="0.2">
      <c r="A324" s="43" t="s">
        <v>960</v>
      </c>
      <c r="B324" s="46" t="s">
        <v>40</v>
      </c>
      <c r="C324" s="44" t="s">
        <v>1046</v>
      </c>
      <c r="D324" s="34">
        <v>4853</v>
      </c>
      <c r="E324" s="46" t="s">
        <v>965</v>
      </c>
      <c r="F324" s="35">
        <v>15000</v>
      </c>
      <c r="G324" s="40">
        <v>15000</v>
      </c>
      <c r="H324" s="35">
        <v>0</v>
      </c>
      <c r="I324" s="35">
        <f t="shared" si="56"/>
        <v>15000</v>
      </c>
      <c r="J324" s="36">
        <f t="shared" si="57"/>
        <v>0</v>
      </c>
      <c r="K324" s="48" t="s">
        <v>37</v>
      </c>
      <c r="L324" s="48" t="s">
        <v>37</v>
      </c>
      <c r="M324" s="38">
        <v>41363</v>
      </c>
      <c r="N324" s="37"/>
      <c r="O324" s="35">
        <v>15000</v>
      </c>
      <c r="P324" s="35"/>
      <c r="Q324" s="35"/>
    </row>
    <row r="325" spans="1:17" s="15" customFormat="1" ht="26.25" customHeight="1" x14ac:dyDescent="0.2">
      <c r="A325" s="43" t="s">
        <v>970</v>
      </c>
      <c r="B325" s="46" t="s">
        <v>17</v>
      </c>
      <c r="C325" s="44" t="s">
        <v>974</v>
      </c>
      <c r="D325" s="34">
        <v>5000</v>
      </c>
      <c r="E325" s="46" t="s">
        <v>980</v>
      </c>
      <c r="F325" s="35">
        <v>16350</v>
      </c>
      <c r="G325" s="40">
        <v>16350</v>
      </c>
      <c r="H325" s="35">
        <v>0</v>
      </c>
      <c r="I325" s="35">
        <f t="shared" si="56"/>
        <v>16350</v>
      </c>
      <c r="J325" s="36">
        <f t="shared" si="57"/>
        <v>0</v>
      </c>
      <c r="K325" s="48" t="s">
        <v>42</v>
      </c>
      <c r="L325" s="48" t="s">
        <v>42</v>
      </c>
      <c r="M325" s="38">
        <v>41639</v>
      </c>
      <c r="N325" s="37"/>
      <c r="O325" s="35">
        <v>16350</v>
      </c>
      <c r="P325" s="35"/>
      <c r="Q325" s="35"/>
    </row>
    <row r="326" spans="1:17" s="15" customFormat="1" ht="26.25" customHeight="1" x14ac:dyDescent="0.2">
      <c r="A326" s="43" t="s">
        <v>971</v>
      </c>
      <c r="B326" s="46" t="s">
        <v>40</v>
      </c>
      <c r="C326" s="44" t="s">
        <v>975</v>
      </c>
      <c r="D326" s="34">
        <v>5128</v>
      </c>
      <c r="E326" s="46" t="s">
        <v>977</v>
      </c>
      <c r="F326" s="35">
        <v>10800</v>
      </c>
      <c r="G326" s="40">
        <v>10800</v>
      </c>
      <c r="H326" s="35">
        <v>0</v>
      </c>
      <c r="I326" s="35">
        <f t="shared" si="56"/>
        <v>10800</v>
      </c>
      <c r="J326" s="36">
        <f t="shared" si="57"/>
        <v>0</v>
      </c>
      <c r="K326" s="48" t="s">
        <v>37</v>
      </c>
      <c r="L326" s="48" t="s">
        <v>42</v>
      </c>
      <c r="M326" s="38">
        <v>41305</v>
      </c>
      <c r="N326" s="37"/>
      <c r="O326" s="35">
        <v>10800</v>
      </c>
      <c r="P326" s="35"/>
      <c r="Q326" s="35"/>
    </row>
    <row r="327" spans="1:17" s="15" customFormat="1" ht="26.25" customHeight="1" x14ac:dyDescent="0.2">
      <c r="A327" s="43" t="s">
        <v>972</v>
      </c>
      <c r="B327" s="46" t="s">
        <v>17</v>
      </c>
      <c r="C327" s="44" t="s">
        <v>976</v>
      </c>
      <c r="D327" s="34">
        <v>5130</v>
      </c>
      <c r="E327" s="46" t="s">
        <v>978</v>
      </c>
      <c r="F327" s="35">
        <v>4000</v>
      </c>
      <c r="G327" s="40">
        <v>25000</v>
      </c>
      <c r="H327" s="35">
        <v>4000</v>
      </c>
      <c r="I327" s="35">
        <f t="shared" si="56"/>
        <v>29000</v>
      </c>
      <c r="J327" s="36">
        <f t="shared" si="57"/>
        <v>0.16</v>
      </c>
      <c r="K327" s="48" t="s">
        <v>42</v>
      </c>
      <c r="L327" s="48" t="s">
        <v>37</v>
      </c>
      <c r="M327" s="38">
        <v>41364</v>
      </c>
      <c r="N327" s="48" t="s">
        <v>36</v>
      </c>
      <c r="O327" s="35">
        <v>4000</v>
      </c>
      <c r="P327" s="35"/>
      <c r="Q327" s="35"/>
    </row>
    <row r="328" spans="1:17" s="15" customFormat="1" ht="26.25" customHeight="1" x14ac:dyDescent="0.2">
      <c r="A328" s="43" t="s">
        <v>973</v>
      </c>
      <c r="B328" s="46" t="s">
        <v>17</v>
      </c>
      <c r="C328" s="44" t="s">
        <v>837</v>
      </c>
      <c r="D328" s="34">
        <v>5136</v>
      </c>
      <c r="E328" s="46" t="s">
        <v>979</v>
      </c>
      <c r="F328" s="35">
        <v>15700</v>
      </c>
      <c r="G328" s="40">
        <v>10000</v>
      </c>
      <c r="H328" s="35">
        <v>15700</v>
      </c>
      <c r="I328" s="35">
        <f t="shared" si="56"/>
        <v>25700</v>
      </c>
      <c r="J328" s="36">
        <f t="shared" si="57"/>
        <v>1.57</v>
      </c>
      <c r="K328" s="48" t="s">
        <v>37</v>
      </c>
      <c r="L328" s="48" t="s">
        <v>37</v>
      </c>
      <c r="M328" s="38">
        <v>41455</v>
      </c>
      <c r="N328" s="48" t="s">
        <v>36</v>
      </c>
      <c r="O328" s="35">
        <v>15700</v>
      </c>
      <c r="P328" s="35"/>
      <c r="Q328" s="35"/>
    </row>
    <row r="329" spans="1:17" s="15" customFormat="1" ht="26.25" customHeight="1" x14ac:dyDescent="0.2">
      <c r="A329" s="43" t="s">
        <v>981</v>
      </c>
      <c r="B329" s="46" t="s">
        <v>26</v>
      </c>
      <c r="C329" s="44" t="s">
        <v>986</v>
      </c>
      <c r="D329" s="47" t="s">
        <v>41</v>
      </c>
      <c r="E329" s="46" t="s">
        <v>989</v>
      </c>
      <c r="F329" s="35">
        <v>25000</v>
      </c>
      <c r="G329" s="40">
        <v>25000</v>
      </c>
      <c r="H329" s="35">
        <v>0</v>
      </c>
      <c r="I329" s="35">
        <f t="shared" si="56"/>
        <v>25000</v>
      </c>
      <c r="J329" s="36">
        <f t="shared" si="57"/>
        <v>0</v>
      </c>
      <c r="K329" s="48" t="s">
        <v>37</v>
      </c>
      <c r="L329" s="48" t="s">
        <v>37</v>
      </c>
      <c r="M329" s="38">
        <v>41455</v>
      </c>
      <c r="N329" s="37"/>
      <c r="O329" s="35">
        <v>25000</v>
      </c>
      <c r="P329" s="35"/>
      <c r="Q329" s="35"/>
    </row>
    <row r="330" spans="1:17" s="15" customFormat="1" ht="26.25" customHeight="1" x14ac:dyDescent="0.2">
      <c r="A330" s="43" t="s">
        <v>982</v>
      </c>
      <c r="B330" s="46" t="s">
        <v>20</v>
      </c>
      <c r="C330" s="44" t="s">
        <v>103</v>
      </c>
      <c r="D330" s="34">
        <v>5062</v>
      </c>
      <c r="E330" s="46" t="s">
        <v>563</v>
      </c>
      <c r="F330" s="35">
        <f>22000*3</f>
        <v>66000</v>
      </c>
      <c r="G330" s="40">
        <v>25000</v>
      </c>
      <c r="H330" s="35">
        <f>22000*3</f>
        <v>66000</v>
      </c>
      <c r="I330" s="35">
        <f t="shared" ref="I330:I337" si="58">G330+H330</f>
        <v>91000</v>
      </c>
      <c r="J330" s="36">
        <f t="shared" ref="J330:J337" si="59">IF(G330=0,100%,(I330-G330)/G330)</f>
        <v>2.64</v>
      </c>
      <c r="K330" s="48" t="s">
        <v>37</v>
      </c>
      <c r="L330" s="48" t="s">
        <v>37</v>
      </c>
      <c r="M330" s="38">
        <v>41455</v>
      </c>
      <c r="N330" s="48" t="s">
        <v>64</v>
      </c>
      <c r="O330" s="35">
        <v>22000</v>
      </c>
      <c r="P330" s="35">
        <v>22000</v>
      </c>
      <c r="Q330" s="35">
        <v>22000</v>
      </c>
    </row>
    <row r="331" spans="1:17" s="15" customFormat="1" ht="26.25" customHeight="1" x14ac:dyDescent="0.2">
      <c r="A331" s="43" t="s">
        <v>983</v>
      </c>
      <c r="B331" s="46" t="s">
        <v>50</v>
      </c>
      <c r="C331" s="44" t="s">
        <v>987</v>
      </c>
      <c r="D331" s="34">
        <v>4894</v>
      </c>
      <c r="E331" s="46" t="s">
        <v>992</v>
      </c>
      <c r="F331" s="35">
        <v>29900</v>
      </c>
      <c r="G331" s="40">
        <v>5000</v>
      </c>
      <c r="H331" s="35">
        <f>12000+8000+27000+30000+29900</f>
        <v>106900</v>
      </c>
      <c r="I331" s="35">
        <f t="shared" si="58"/>
        <v>111900</v>
      </c>
      <c r="J331" s="36">
        <f t="shared" si="59"/>
        <v>21.38</v>
      </c>
      <c r="K331" s="48" t="s">
        <v>37</v>
      </c>
      <c r="L331" s="48" t="s">
        <v>37</v>
      </c>
      <c r="M331" s="38">
        <v>41820</v>
      </c>
      <c r="N331" s="48" t="s">
        <v>36</v>
      </c>
      <c r="O331" s="35">
        <v>29900</v>
      </c>
      <c r="P331" s="35"/>
      <c r="Q331" s="35"/>
    </row>
    <row r="332" spans="1:17" s="15" customFormat="1" ht="26.25" customHeight="1" x14ac:dyDescent="0.2">
      <c r="A332" s="43" t="s">
        <v>984</v>
      </c>
      <c r="B332" s="46" t="s">
        <v>17</v>
      </c>
      <c r="C332" s="44" t="s">
        <v>85</v>
      </c>
      <c r="D332" s="34">
        <v>4942</v>
      </c>
      <c r="E332" s="46" t="s">
        <v>990</v>
      </c>
      <c r="F332" s="35">
        <v>49000</v>
      </c>
      <c r="G332" s="40">
        <v>49000</v>
      </c>
      <c r="H332" s="35">
        <v>0</v>
      </c>
      <c r="I332" s="35">
        <f t="shared" si="58"/>
        <v>49000</v>
      </c>
      <c r="J332" s="36">
        <f t="shared" si="59"/>
        <v>0</v>
      </c>
      <c r="K332" s="48" t="s">
        <v>37</v>
      </c>
      <c r="L332" s="48" t="s">
        <v>37</v>
      </c>
      <c r="M332" s="38">
        <v>41455</v>
      </c>
      <c r="N332" s="37"/>
      <c r="O332" s="35">
        <v>49000</v>
      </c>
      <c r="P332" s="35"/>
      <c r="Q332" s="35"/>
    </row>
    <row r="333" spans="1:17" s="15" customFormat="1" ht="26.25" customHeight="1" x14ac:dyDescent="0.2">
      <c r="A333" s="43" t="s">
        <v>985</v>
      </c>
      <c r="B333" s="46" t="s">
        <v>39</v>
      </c>
      <c r="C333" s="44" t="s">
        <v>988</v>
      </c>
      <c r="D333" s="34">
        <v>4929</v>
      </c>
      <c r="E333" s="46" t="s">
        <v>991</v>
      </c>
      <c r="F333" s="35">
        <f>8566*3</f>
        <v>25698</v>
      </c>
      <c r="G333" s="40">
        <f>8566*3</f>
        <v>25698</v>
      </c>
      <c r="H333" s="35">
        <v>0</v>
      </c>
      <c r="I333" s="35">
        <f t="shared" si="58"/>
        <v>25698</v>
      </c>
      <c r="J333" s="36">
        <f t="shared" si="59"/>
        <v>0</v>
      </c>
      <c r="K333" s="48" t="s">
        <v>37</v>
      </c>
      <c r="L333" s="48" t="s">
        <v>37</v>
      </c>
      <c r="M333" s="38">
        <v>41638</v>
      </c>
      <c r="N333" s="48" t="s">
        <v>64</v>
      </c>
      <c r="O333" s="35">
        <v>8566</v>
      </c>
      <c r="P333" s="35">
        <v>8566</v>
      </c>
      <c r="Q333" s="35">
        <v>8566</v>
      </c>
    </row>
    <row r="334" spans="1:17" s="15" customFormat="1" ht="18" customHeight="1" x14ac:dyDescent="0.2">
      <c r="A334" s="43" t="s">
        <v>993</v>
      </c>
      <c r="B334" s="46" t="s">
        <v>997</v>
      </c>
      <c r="C334" s="44" t="s">
        <v>998</v>
      </c>
      <c r="D334" s="47" t="s">
        <v>41</v>
      </c>
      <c r="E334" s="46" t="s">
        <v>1001</v>
      </c>
      <c r="F334" s="35">
        <f>93079*3</f>
        <v>279237</v>
      </c>
      <c r="G334" s="40">
        <f>93079*3</f>
        <v>279237</v>
      </c>
      <c r="H334" s="35">
        <v>0</v>
      </c>
      <c r="I334" s="35">
        <f t="shared" si="58"/>
        <v>279237</v>
      </c>
      <c r="J334" s="36">
        <f t="shared" si="59"/>
        <v>0</v>
      </c>
      <c r="K334" s="48" t="s">
        <v>37</v>
      </c>
      <c r="L334" s="48" t="s">
        <v>37</v>
      </c>
      <c r="M334" s="38">
        <v>41639</v>
      </c>
      <c r="N334" s="48" t="s">
        <v>64</v>
      </c>
      <c r="O334" s="35">
        <v>93079</v>
      </c>
      <c r="P334" s="35">
        <v>93079</v>
      </c>
      <c r="Q334" s="35">
        <v>93079</v>
      </c>
    </row>
    <row r="335" spans="1:17" s="15" customFormat="1" ht="26.25" customHeight="1" x14ac:dyDescent="0.2">
      <c r="A335" s="43" t="s">
        <v>994</v>
      </c>
      <c r="B335" s="46" t="s">
        <v>39</v>
      </c>
      <c r="C335" s="44" t="s">
        <v>525</v>
      </c>
      <c r="D335" s="34">
        <v>5182</v>
      </c>
      <c r="E335" s="46" t="s">
        <v>1002</v>
      </c>
      <c r="F335" s="35">
        <v>3000</v>
      </c>
      <c r="G335" s="40">
        <v>51984</v>
      </c>
      <c r="H335" s="35">
        <v>3000</v>
      </c>
      <c r="I335" s="35">
        <f t="shared" si="58"/>
        <v>54984</v>
      </c>
      <c r="J335" s="36">
        <f t="shared" si="59"/>
        <v>5.7710064635272389E-2</v>
      </c>
      <c r="K335" s="48" t="s">
        <v>37</v>
      </c>
      <c r="L335" s="48" t="s">
        <v>37</v>
      </c>
      <c r="M335" s="38">
        <v>41455</v>
      </c>
      <c r="N335" s="48" t="s">
        <v>36</v>
      </c>
      <c r="O335" s="35">
        <v>3000</v>
      </c>
      <c r="P335" s="35"/>
      <c r="Q335" s="35"/>
    </row>
    <row r="336" spans="1:17" s="15" customFormat="1" ht="18" customHeight="1" x14ac:dyDescent="0.2">
      <c r="A336" s="43" t="s">
        <v>995</v>
      </c>
      <c r="B336" s="46" t="s">
        <v>17</v>
      </c>
      <c r="C336" s="44" t="s">
        <v>999</v>
      </c>
      <c r="D336" s="34">
        <v>5160</v>
      </c>
      <c r="E336" s="46" t="s">
        <v>963</v>
      </c>
      <c r="F336" s="35">
        <v>92800</v>
      </c>
      <c r="G336" s="40">
        <v>1432649</v>
      </c>
      <c r="H336" s="35">
        <v>92800</v>
      </c>
      <c r="I336" s="35">
        <f t="shared" si="58"/>
        <v>1525449</v>
      </c>
      <c r="J336" s="36">
        <f t="shared" si="59"/>
        <v>6.4775112396686138E-2</v>
      </c>
      <c r="K336" s="48" t="s">
        <v>37</v>
      </c>
      <c r="L336" s="48" t="s">
        <v>37</v>
      </c>
      <c r="M336" s="38">
        <v>41384</v>
      </c>
      <c r="N336" s="48" t="s">
        <v>36</v>
      </c>
      <c r="O336" s="35">
        <v>92800</v>
      </c>
      <c r="P336" s="35"/>
      <c r="Q336" s="35"/>
    </row>
    <row r="337" spans="1:17" s="15" customFormat="1" ht="26.25" customHeight="1" x14ac:dyDescent="0.2">
      <c r="A337" s="43" t="s">
        <v>996</v>
      </c>
      <c r="B337" s="46" t="s">
        <v>46</v>
      </c>
      <c r="C337" s="44" t="s">
        <v>1000</v>
      </c>
      <c r="D337" s="34">
        <v>4998</v>
      </c>
      <c r="E337" s="46" t="s">
        <v>1003</v>
      </c>
      <c r="F337" s="35">
        <f>30000*3</f>
        <v>90000</v>
      </c>
      <c r="G337" s="40">
        <v>40000</v>
      </c>
      <c r="H337" s="35">
        <f>30000*3</f>
        <v>90000</v>
      </c>
      <c r="I337" s="35">
        <f t="shared" si="58"/>
        <v>130000</v>
      </c>
      <c r="J337" s="36">
        <f t="shared" si="59"/>
        <v>2.25</v>
      </c>
      <c r="K337" s="48" t="s">
        <v>37</v>
      </c>
      <c r="L337" s="48" t="s">
        <v>37</v>
      </c>
      <c r="M337" s="38">
        <v>41455</v>
      </c>
      <c r="N337" s="48" t="s">
        <v>64</v>
      </c>
      <c r="O337" s="35">
        <v>30000</v>
      </c>
      <c r="P337" s="35">
        <v>30000</v>
      </c>
      <c r="Q337" s="35">
        <v>30000</v>
      </c>
    </row>
    <row r="338" spans="1:17" s="15" customFormat="1" ht="26.25" customHeight="1" x14ac:dyDescent="0.2">
      <c r="A338" s="43" t="s">
        <v>1004</v>
      </c>
      <c r="B338" s="46" t="s">
        <v>48</v>
      </c>
      <c r="C338" s="44" t="s">
        <v>1010</v>
      </c>
      <c r="D338" s="34">
        <v>5268</v>
      </c>
      <c r="E338" s="46" t="s">
        <v>1014</v>
      </c>
      <c r="F338" s="35">
        <v>46086</v>
      </c>
      <c r="G338" s="40">
        <v>46086</v>
      </c>
      <c r="H338" s="35">
        <v>0</v>
      </c>
      <c r="I338" s="35">
        <f t="shared" ref="I338:I343" si="60">G338+H338</f>
        <v>46086</v>
      </c>
      <c r="J338" s="36">
        <f t="shared" ref="J338:J343" si="61">IF(G338=0,100%,(I338-G338)/G338)</f>
        <v>0</v>
      </c>
      <c r="K338" s="48" t="s">
        <v>37</v>
      </c>
      <c r="L338" s="48" t="s">
        <v>37</v>
      </c>
      <c r="M338" s="38">
        <v>41364</v>
      </c>
      <c r="N338" s="48"/>
      <c r="O338" s="35">
        <v>46086</v>
      </c>
      <c r="P338" s="35"/>
      <c r="Q338" s="35"/>
    </row>
    <row r="339" spans="1:17" s="15" customFormat="1" ht="26.25" customHeight="1" x14ac:dyDescent="0.2">
      <c r="A339" s="43" t="s">
        <v>1005</v>
      </c>
      <c r="B339" s="46" t="s">
        <v>48</v>
      </c>
      <c r="C339" s="44" t="s">
        <v>96</v>
      </c>
      <c r="D339" s="34">
        <v>5266</v>
      </c>
      <c r="E339" s="46" t="s">
        <v>1015</v>
      </c>
      <c r="F339" s="35">
        <v>8700</v>
      </c>
      <c r="G339" s="40">
        <v>9688</v>
      </c>
      <c r="H339" s="35">
        <v>8700</v>
      </c>
      <c r="I339" s="35">
        <f t="shared" si="60"/>
        <v>18388</v>
      </c>
      <c r="J339" s="36">
        <f t="shared" si="61"/>
        <v>0.89801816680429403</v>
      </c>
      <c r="K339" s="48" t="s">
        <v>37</v>
      </c>
      <c r="L339" s="48" t="s">
        <v>37</v>
      </c>
      <c r="M339" s="38">
        <v>41455</v>
      </c>
      <c r="N339" s="48" t="s">
        <v>36</v>
      </c>
      <c r="O339" s="35">
        <v>8700</v>
      </c>
      <c r="P339" s="35"/>
      <c r="Q339" s="35"/>
    </row>
    <row r="340" spans="1:17" s="15" customFormat="1" ht="26.25" customHeight="1" x14ac:dyDescent="0.2">
      <c r="A340" s="43" t="s">
        <v>1006</v>
      </c>
      <c r="B340" s="46" t="s">
        <v>76</v>
      </c>
      <c r="C340" s="44" t="s">
        <v>1011</v>
      </c>
      <c r="D340" s="34">
        <v>5230</v>
      </c>
      <c r="E340" s="46" t="s">
        <v>1016</v>
      </c>
      <c r="F340" s="35">
        <f>12000*3</f>
        <v>36000</v>
      </c>
      <c r="G340" s="40">
        <v>12000</v>
      </c>
      <c r="H340" s="35">
        <f>12000*3</f>
        <v>36000</v>
      </c>
      <c r="I340" s="35">
        <f t="shared" si="60"/>
        <v>48000</v>
      </c>
      <c r="J340" s="36">
        <f t="shared" si="61"/>
        <v>3</v>
      </c>
      <c r="K340" s="48" t="s">
        <v>37</v>
      </c>
      <c r="L340" s="48" t="s">
        <v>37</v>
      </c>
      <c r="M340" s="38">
        <v>41613</v>
      </c>
      <c r="N340" s="48" t="s">
        <v>64</v>
      </c>
      <c r="O340" s="35">
        <v>12000</v>
      </c>
      <c r="P340" s="35">
        <v>12000</v>
      </c>
      <c r="Q340" s="35">
        <v>12000</v>
      </c>
    </row>
    <row r="341" spans="1:17" s="15" customFormat="1" ht="26.25" customHeight="1" x14ac:dyDescent="0.2">
      <c r="A341" s="43" t="s">
        <v>1007</v>
      </c>
      <c r="B341" s="46" t="s">
        <v>76</v>
      </c>
      <c r="C341" s="44" t="s">
        <v>1012</v>
      </c>
      <c r="D341" s="34">
        <v>5138</v>
      </c>
      <c r="E341" s="46" t="s">
        <v>1017</v>
      </c>
      <c r="F341" s="35">
        <f>8550*3</f>
        <v>25650</v>
      </c>
      <c r="G341" s="40">
        <f>8550*3</f>
        <v>25650</v>
      </c>
      <c r="H341" s="35">
        <v>0</v>
      </c>
      <c r="I341" s="35">
        <f t="shared" si="60"/>
        <v>25650</v>
      </c>
      <c r="J341" s="36">
        <f t="shared" si="61"/>
        <v>0</v>
      </c>
      <c r="K341" s="48" t="s">
        <v>37</v>
      </c>
      <c r="L341" s="48" t="s">
        <v>42</v>
      </c>
      <c r="M341" s="38">
        <v>41670</v>
      </c>
      <c r="N341" s="48" t="s">
        <v>64</v>
      </c>
      <c r="O341" s="35">
        <v>8550</v>
      </c>
      <c r="P341" s="35">
        <v>8550</v>
      </c>
      <c r="Q341" s="35">
        <v>8550</v>
      </c>
    </row>
    <row r="342" spans="1:17" s="15" customFormat="1" ht="26.25" customHeight="1" x14ac:dyDescent="0.2">
      <c r="A342" s="43" t="s">
        <v>1008</v>
      </c>
      <c r="B342" s="46" t="s">
        <v>18</v>
      </c>
      <c r="C342" s="44" t="s">
        <v>1013</v>
      </c>
      <c r="D342" s="34">
        <v>5187</v>
      </c>
      <c r="E342" s="46" t="s">
        <v>1018</v>
      </c>
      <c r="F342" s="35">
        <v>15000</v>
      </c>
      <c r="G342" s="40">
        <v>10000</v>
      </c>
      <c r="H342" s="35">
        <f>5000*3+15000</f>
        <v>30000</v>
      </c>
      <c r="I342" s="35">
        <f t="shared" si="60"/>
        <v>40000</v>
      </c>
      <c r="J342" s="36">
        <f t="shared" si="61"/>
        <v>3</v>
      </c>
      <c r="K342" s="48" t="s">
        <v>37</v>
      </c>
      <c r="L342" s="48" t="s">
        <v>37</v>
      </c>
      <c r="M342" s="52" t="s">
        <v>69</v>
      </c>
      <c r="N342" s="48" t="s">
        <v>36</v>
      </c>
      <c r="O342" s="35">
        <v>15000</v>
      </c>
      <c r="P342" s="35"/>
      <c r="Q342" s="35"/>
    </row>
    <row r="343" spans="1:17" s="15" customFormat="1" ht="26.25" customHeight="1" x14ac:dyDescent="0.2">
      <c r="A343" s="43" t="s">
        <v>1009</v>
      </c>
      <c r="B343" s="46" t="s">
        <v>18</v>
      </c>
      <c r="C343" s="44" t="s">
        <v>97</v>
      </c>
      <c r="D343" s="34">
        <v>5158</v>
      </c>
      <c r="E343" s="46" t="s">
        <v>1019</v>
      </c>
      <c r="F343" s="35">
        <v>25000</v>
      </c>
      <c r="G343" s="40">
        <v>5000</v>
      </c>
      <c r="H343" s="35">
        <f>10000+25000</f>
        <v>35000</v>
      </c>
      <c r="I343" s="35">
        <f t="shared" si="60"/>
        <v>40000</v>
      </c>
      <c r="J343" s="36">
        <f t="shared" si="61"/>
        <v>7</v>
      </c>
      <c r="K343" s="48" t="s">
        <v>37</v>
      </c>
      <c r="L343" s="48" t="s">
        <v>37</v>
      </c>
      <c r="M343" s="52" t="s">
        <v>69</v>
      </c>
      <c r="N343" s="48" t="s">
        <v>36</v>
      </c>
      <c r="O343" s="35">
        <v>25000</v>
      </c>
      <c r="P343" s="35"/>
      <c r="Q343" s="35"/>
    </row>
    <row r="344" spans="1:17" s="15" customFormat="1" ht="26.25" customHeight="1" x14ac:dyDescent="0.2">
      <c r="A344" s="43" t="s">
        <v>1020</v>
      </c>
      <c r="B344" s="46" t="s">
        <v>80</v>
      </c>
      <c r="C344" s="44" t="s">
        <v>1025</v>
      </c>
      <c r="D344" s="47" t="s">
        <v>41</v>
      </c>
      <c r="E344" s="46" t="s">
        <v>1030</v>
      </c>
      <c r="F344" s="35">
        <v>49980</v>
      </c>
      <c r="G344" s="40">
        <v>49980</v>
      </c>
      <c r="H344" s="35">
        <v>0</v>
      </c>
      <c r="I344" s="35">
        <f t="shared" ref="I344:I350" si="62">G344+H344</f>
        <v>49980</v>
      </c>
      <c r="J344" s="36">
        <f t="shared" ref="J344:J350" si="63">IF(G344=0,100%,(I344-G344)/G344)</f>
        <v>0</v>
      </c>
      <c r="K344" s="48" t="s">
        <v>37</v>
      </c>
      <c r="L344" s="48" t="s">
        <v>37</v>
      </c>
      <c r="M344" s="52">
        <v>41547</v>
      </c>
      <c r="N344" s="48"/>
      <c r="O344" s="35">
        <v>49980</v>
      </c>
      <c r="P344" s="35"/>
      <c r="Q344" s="35"/>
    </row>
    <row r="345" spans="1:17" s="15" customFormat="1" ht="26.25" customHeight="1" x14ac:dyDescent="0.2">
      <c r="A345" s="43" t="s">
        <v>1021</v>
      </c>
      <c r="B345" s="46" t="s">
        <v>80</v>
      </c>
      <c r="C345" s="44" t="s">
        <v>1026</v>
      </c>
      <c r="D345" s="34">
        <v>5231</v>
      </c>
      <c r="E345" s="46" t="s">
        <v>1031</v>
      </c>
      <c r="F345" s="35">
        <v>46800</v>
      </c>
      <c r="G345" s="40">
        <v>46800</v>
      </c>
      <c r="H345" s="35">
        <v>0</v>
      </c>
      <c r="I345" s="35">
        <f t="shared" si="62"/>
        <v>46800</v>
      </c>
      <c r="J345" s="36">
        <f t="shared" si="63"/>
        <v>0</v>
      </c>
      <c r="K345" s="48" t="s">
        <v>37</v>
      </c>
      <c r="L345" s="48" t="s">
        <v>37</v>
      </c>
      <c r="M345" s="52">
        <v>41455</v>
      </c>
      <c r="N345" s="48"/>
      <c r="O345" s="35">
        <v>46800</v>
      </c>
      <c r="P345" s="35"/>
      <c r="Q345" s="35"/>
    </row>
    <row r="346" spans="1:17" s="15" customFormat="1" ht="26.25" customHeight="1" x14ac:dyDescent="0.2">
      <c r="A346" s="43" t="s">
        <v>1022</v>
      </c>
      <c r="B346" s="46" t="s">
        <v>76</v>
      </c>
      <c r="C346" s="44" t="s">
        <v>1027</v>
      </c>
      <c r="D346" s="34">
        <v>4989</v>
      </c>
      <c r="E346" s="46" t="s">
        <v>1032</v>
      </c>
      <c r="F346" s="35">
        <f>6000*3</f>
        <v>18000</v>
      </c>
      <c r="G346" s="40">
        <f>6000*3</f>
        <v>18000</v>
      </c>
      <c r="H346" s="35">
        <v>0</v>
      </c>
      <c r="I346" s="35">
        <f t="shared" si="62"/>
        <v>18000</v>
      </c>
      <c r="J346" s="36">
        <f t="shared" si="63"/>
        <v>0</v>
      </c>
      <c r="K346" s="48" t="s">
        <v>37</v>
      </c>
      <c r="L346" s="48" t="s">
        <v>37</v>
      </c>
      <c r="M346" s="52">
        <v>41455</v>
      </c>
      <c r="N346" s="48" t="s">
        <v>64</v>
      </c>
      <c r="O346" s="35">
        <v>6000</v>
      </c>
      <c r="P346" s="35">
        <v>6000</v>
      </c>
      <c r="Q346" s="35">
        <v>6000</v>
      </c>
    </row>
    <row r="347" spans="1:17" s="15" customFormat="1" ht="18" customHeight="1" x14ac:dyDescent="0.2">
      <c r="A347" s="43" t="s">
        <v>1023</v>
      </c>
      <c r="B347" s="46" t="s">
        <v>76</v>
      </c>
      <c r="C347" s="44" t="s">
        <v>1029</v>
      </c>
      <c r="D347" s="34">
        <v>4827</v>
      </c>
      <c r="E347" s="46" t="s">
        <v>1033</v>
      </c>
      <c r="F347" s="35">
        <f>15000*3</f>
        <v>45000</v>
      </c>
      <c r="G347" s="40">
        <f>15000*3</f>
        <v>45000</v>
      </c>
      <c r="H347" s="35">
        <v>0</v>
      </c>
      <c r="I347" s="35">
        <f t="shared" si="62"/>
        <v>45000</v>
      </c>
      <c r="J347" s="36">
        <f t="shared" si="63"/>
        <v>0</v>
      </c>
      <c r="K347" s="48" t="s">
        <v>37</v>
      </c>
      <c r="L347" s="48" t="s">
        <v>37</v>
      </c>
      <c r="M347" s="52">
        <v>41455</v>
      </c>
      <c r="N347" s="48" t="s">
        <v>64</v>
      </c>
      <c r="O347" s="35">
        <v>15000</v>
      </c>
      <c r="P347" s="35">
        <v>15000</v>
      </c>
      <c r="Q347" s="35">
        <v>15000</v>
      </c>
    </row>
    <row r="348" spans="1:17" s="15" customFormat="1" ht="26.25" customHeight="1" x14ac:dyDescent="0.2">
      <c r="A348" s="43" t="s">
        <v>1024</v>
      </c>
      <c r="B348" s="46" t="s">
        <v>76</v>
      </c>
      <c r="C348" s="44" t="s">
        <v>1028</v>
      </c>
      <c r="D348" s="34">
        <v>4726</v>
      </c>
      <c r="E348" s="46" t="s">
        <v>1034</v>
      </c>
      <c r="F348" s="35">
        <f>7500*3</f>
        <v>22500</v>
      </c>
      <c r="G348" s="40">
        <f>7500*3</f>
        <v>22500</v>
      </c>
      <c r="H348" s="35">
        <v>0</v>
      </c>
      <c r="I348" s="35">
        <f t="shared" si="62"/>
        <v>22500</v>
      </c>
      <c r="J348" s="36">
        <f t="shared" si="63"/>
        <v>0</v>
      </c>
      <c r="K348" s="48" t="s">
        <v>37</v>
      </c>
      <c r="L348" s="48" t="s">
        <v>37</v>
      </c>
      <c r="M348" s="52">
        <v>41455</v>
      </c>
      <c r="N348" s="48" t="s">
        <v>64</v>
      </c>
      <c r="O348" s="35">
        <v>7500</v>
      </c>
      <c r="P348" s="35">
        <v>7500</v>
      </c>
      <c r="Q348" s="35">
        <v>7500</v>
      </c>
    </row>
    <row r="349" spans="1:17" s="15" customFormat="1" ht="26.25" customHeight="1" x14ac:dyDescent="0.2">
      <c r="A349" s="43" t="s">
        <v>1035</v>
      </c>
      <c r="B349" s="46" t="s">
        <v>46</v>
      </c>
      <c r="C349" s="44" t="s">
        <v>1039</v>
      </c>
      <c r="D349" s="34">
        <v>5238</v>
      </c>
      <c r="E349" s="46" t="s">
        <v>1042</v>
      </c>
      <c r="F349" s="35">
        <f>65000*3</f>
        <v>195000</v>
      </c>
      <c r="G349" s="40">
        <f>65000*3</f>
        <v>195000</v>
      </c>
      <c r="H349" s="35">
        <v>0</v>
      </c>
      <c r="I349" s="35">
        <f t="shared" si="62"/>
        <v>195000</v>
      </c>
      <c r="J349" s="36">
        <f t="shared" si="63"/>
        <v>0</v>
      </c>
      <c r="K349" s="48" t="s">
        <v>37</v>
      </c>
      <c r="L349" s="48" t="s">
        <v>37</v>
      </c>
      <c r="M349" s="52">
        <v>41639</v>
      </c>
      <c r="N349" s="48" t="s">
        <v>64</v>
      </c>
      <c r="O349" s="35">
        <v>65000</v>
      </c>
      <c r="P349" s="35">
        <v>65000</v>
      </c>
      <c r="Q349" s="35">
        <v>65000</v>
      </c>
    </row>
    <row r="350" spans="1:17" s="15" customFormat="1" ht="26.25" customHeight="1" x14ac:dyDescent="0.2">
      <c r="A350" s="43" t="s">
        <v>1036</v>
      </c>
      <c r="B350" s="46" t="s">
        <v>46</v>
      </c>
      <c r="C350" s="44" t="s">
        <v>1040</v>
      </c>
      <c r="D350" s="34">
        <v>5222</v>
      </c>
      <c r="E350" s="46" t="s">
        <v>1043</v>
      </c>
      <c r="F350" s="35">
        <f>63000*3</f>
        <v>189000</v>
      </c>
      <c r="G350" s="40">
        <f>63000*3</f>
        <v>189000</v>
      </c>
      <c r="H350" s="35">
        <v>0</v>
      </c>
      <c r="I350" s="35">
        <f t="shared" si="62"/>
        <v>189000</v>
      </c>
      <c r="J350" s="36">
        <f t="shared" si="63"/>
        <v>0</v>
      </c>
      <c r="K350" s="48" t="s">
        <v>37</v>
      </c>
      <c r="L350" s="48" t="s">
        <v>37</v>
      </c>
      <c r="M350" s="38">
        <v>41639</v>
      </c>
      <c r="N350" s="48" t="s">
        <v>64</v>
      </c>
      <c r="O350" s="35">
        <v>63000</v>
      </c>
      <c r="P350" s="35">
        <v>63000</v>
      </c>
      <c r="Q350" s="35">
        <v>63000</v>
      </c>
    </row>
    <row r="351" spans="1:17" s="15" customFormat="1" ht="26.25" customHeight="1" x14ac:dyDescent="0.2">
      <c r="A351" s="43" t="s">
        <v>1037</v>
      </c>
      <c r="B351" s="46" t="s">
        <v>26</v>
      </c>
      <c r="C351" s="44" t="s">
        <v>1041</v>
      </c>
      <c r="D351" s="47" t="s">
        <v>41</v>
      </c>
      <c r="E351" s="46" t="s">
        <v>1044</v>
      </c>
      <c r="F351" s="35">
        <v>85000</v>
      </c>
      <c r="G351" s="40">
        <v>85000</v>
      </c>
      <c r="H351" s="35">
        <v>0</v>
      </c>
      <c r="I351" s="35">
        <f t="shared" ref="I351:I358" si="64">G351+H351</f>
        <v>85000</v>
      </c>
      <c r="J351" s="36">
        <f t="shared" ref="J351:J358" si="65">IF(G351=0,100%,(I351-G351)/G351)</f>
        <v>0</v>
      </c>
      <c r="K351" s="48" t="s">
        <v>37</v>
      </c>
      <c r="L351" s="48" t="s">
        <v>37</v>
      </c>
      <c r="M351" s="38">
        <v>41455</v>
      </c>
      <c r="N351" s="37"/>
      <c r="O351" s="35">
        <v>85000</v>
      </c>
      <c r="P351" s="35"/>
      <c r="Q351" s="35"/>
    </row>
    <row r="352" spans="1:17" s="15" customFormat="1" ht="26.25" customHeight="1" x14ac:dyDescent="0.2">
      <c r="A352" s="43" t="s">
        <v>1038</v>
      </c>
      <c r="B352" s="46" t="s">
        <v>17</v>
      </c>
      <c r="C352" s="44" t="s">
        <v>839</v>
      </c>
      <c r="D352" s="34">
        <v>4851</v>
      </c>
      <c r="E352" s="46" t="s">
        <v>1045</v>
      </c>
      <c r="F352" s="35">
        <f>33000*3</f>
        <v>99000</v>
      </c>
      <c r="G352" s="40">
        <v>33000</v>
      </c>
      <c r="H352" s="35">
        <f>33000*3</f>
        <v>99000</v>
      </c>
      <c r="I352" s="35">
        <f t="shared" si="64"/>
        <v>132000</v>
      </c>
      <c r="J352" s="36">
        <f t="shared" si="65"/>
        <v>3</v>
      </c>
      <c r="K352" s="48" t="s">
        <v>37</v>
      </c>
      <c r="L352" s="48" t="s">
        <v>37</v>
      </c>
      <c r="M352" s="38">
        <v>41455</v>
      </c>
      <c r="N352" s="48" t="s">
        <v>64</v>
      </c>
      <c r="O352" s="35">
        <v>33000</v>
      </c>
      <c r="P352" s="35">
        <v>33000</v>
      </c>
      <c r="Q352" s="35">
        <v>33000</v>
      </c>
    </row>
    <row r="353" spans="1:17" s="15" customFormat="1" ht="38.25" customHeight="1" x14ac:dyDescent="0.2">
      <c r="A353" s="43" t="s">
        <v>1047</v>
      </c>
      <c r="B353" s="46" t="s">
        <v>46</v>
      </c>
      <c r="C353" s="44" t="s">
        <v>1052</v>
      </c>
      <c r="D353" s="34">
        <v>5223</v>
      </c>
      <c r="E353" s="46" t="s">
        <v>1057</v>
      </c>
      <c r="F353" s="35">
        <f>46800*3</f>
        <v>140400</v>
      </c>
      <c r="G353" s="40">
        <f>46800*3</f>
        <v>140400</v>
      </c>
      <c r="H353" s="35">
        <v>0</v>
      </c>
      <c r="I353" s="35">
        <f t="shared" si="64"/>
        <v>140400</v>
      </c>
      <c r="J353" s="36">
        <f t="shared" si="65"/>
        <v>0</v>
      </c>
      <c r="K353" s="48" t="s">
        <v>37</v>
      </c>
      <c r="L353" s="48" t="s">
        <v>37</v>
      </c>
      <c r="M353" s="38">
        <v>41639</v>
      </c>
      <c r="N353" s="48" t="s">
        <v>64</v>
      </c>
      <c r="O353" s="35">
        <v>46800</v>
      </c>
      <c r="P353" s="35">
        <v>46800</v>
      </c>
      <c r="Q353" s="35">
        <v>46800</v>
      </c>
    </row>
    <row r="354" spans="1:17" s="15" customFormat="1" ht="26.25" customHeight="1" x14ac:dyDescent="0.2">
      <c r="A354" s="43" t="s">
        <v>1048</v>
      </c>
      <c r="B354" s="46" t="s">
        <v>20</v>
      </c>
      <c r="C354" s="44" t="s">
        <v>1053</v>
      </c>
      <c r="D354" s="34">
        <v>5185</v>
      </c>
      <c r="E354" s="46" t="s">
        <v>200</v>
      </c>
      <c r="F354" s="35">
        <f>20000*3</f>
        <v>60000</v>
      </c>
      <c r="G354" s="40">
        <f>20000</f>
        <v>20000</v>
      </c>
      <c r="H354" s="35">
        <f>20000*3</f>
        <v>60000</v>
      </c>
      <c r="I354" s="35">
        <f t="shared" si="64"/>
        <v>80000</v>
      </c>
      <c r="J354" s="36">
        <f t="shared" si="65"/>
        <v>3</v>
      </c>
      <c r="K354" s="48" t="s">
        <v>37</v>
      </c>
      <c r="L354" s="48" t="s">
        <v>37</v>
      </c>
      <c r="M354" s="38">
        <v>41455</v>
      </c>
      <c r="N354" s="48" t="s">
        <v>64</v>
      </c>
      <c r="O354" s="35">
        <v>20000</v>
      </c>
      <c r="P354" s="35">
        <v>20000</v>
      </c>
      <c r="Q354" s="35">
        <v>20000</v>
      </c>
    </row>
    <row r="355" spans="1:17" s="15" customFormat="1" ht="26.25" customHeight="1" x14ac:dyDescent="0.2">
      <c r="A355" s="43" t="s">
        <v>1049</v>
      </c>
      <c r="B355" s="46" t="s">
        <v>17</v>
      </c>
      <c r="C355" s="44" t="s">
        <v>1054</v>
      </c>
      <c r="D355" s="34">
        <v>5294</v>
      </c>
      <c r="E355" s="46" t="s">
        <v>1056</v>
      </c>
      <c r="F355" s="35">
        <f>16332*3</f>
        <v>48996</v>
      </c>
      <c r="G355" s="40">
        <f>16332*3</f>
        <v>48996</v>
      </c>
      <c r="H355" s="35">
        <v>0</v>
      </c>
      <c r="I355" s="35">
        <f t="shared" si="64"/>
        <v>48996</v>
      </c>
      <c r="J355" s="36">
        <f t="shared" si="65"/>
        <v>0</v>
      </c>
      <c r="K355" s="48" t="s">
        <v>37</v>
      </c>
      <c r="L355" s="48" t="s">
        <v>37</v>
      </c>
      <c r="M355" s="38">
        <v>41726</v>
      </c>
      <c r="N355" s="48" t="s">
        <v>64</v>
      </c>
      <c r="O355" s="35">
        <v>16332</v>
      </c>
      <c r="P355" s="35">
        <v>16332</v>
      </c>
      <c r="Q355" s="35">
        <v>16332</v>
      </c>
    </row>
    <row r="356" spans="1:17" s="15" customFormat="1" ht="26.25" customHeight="1" x14ac:dyDescent="0.2">
      <c r="A356" s="43" t="s">
        <v>1050</v>
      </c>
      <c r="B356" s="46" t="s">
        <v>48</v>
      </c>
      <c r="C356" s="44" t="s">
        <v>231</v>
      </c>
      <c r="D356" s="34">
        <v>5326</v>
      </c>
      <c r="E356" s="46" t="s">
        <v>1058</v>
      </c>
      <c r="F356" s="35">
        <v>6041</v>
      </c>
      <c r="G356" s="40">
        <v>6041</v>
      </c>
      <c r="H356" s="35">
        <v>0</v>
      </c>
      <c r="I356" s="35">
        <f t="shared" si="64"/>
        <v>6041</v>
      </c>
      <c r="J356" s="36">
        <f t="shared" si="65"/>
        <v>0</v>
      </c>
      <c r="K356" s="48" t="s">
        <v>37</v>
      </c>
      <c r="L356" s="48" t="s">
        <v>42</v>
      </c>
      <c r="M356" s="38">
        <v>41262</v>
      </c>
      <c r="N356" s="48"/>
      <c r="O356" s="35">
        <v>6041</v>
      </c>
      <c r="P356" s="35"/>
      <c r="Q356" s="35"/>
    </row>
    <row r="357" spans="1:17" s="15" customFormat="1" ht="26.25" customHeight="1" x14ac:dyDescent="0.2">
      <c r="A357" s="43" t="s">
        <v>1051</v>
      </c>
      <c r="B357" s="46" t="s">
        <v>48</v>
      </c>
      <c r="C357" s="44" t="s">
        <v>1055</v>
      </c>
      <c r="D357" s="34">
        <v>5325</v>
      </c>
      <c r="E357" s="46" t="s">
        <v>1059</v>
      </c>
      <c r="F357" s="35">
        <v>15000</v>
      </c>
      <c r="G357" s="40">
        <v>15000</v>
      </c>
      <c r="H357" s="35">
        <v>0</v>
      </c>
      <c r="I357" s="35">
        <f t="shared" si="64"/>
        <v>15000</v>
      </c>
      <c r="J357" s="36">
        <f t="shared" si="65"/>
        <v>0</v>
      </c>
      <c r="K357" s="48" t="s">
        <v>37</v>
      </c>
      <c r="L357" s="48" t="s">
        <v>37</v>
      </c>
      <c r="M357" s="38">
        <v>41329</v>
      </c>
      <c r="N357" s="48"/>
      <c r="O357" s="35">
        <v>15000</v>
      </c>
      <c r="P357" s="35"/>
      <c r="Q357" s="35"/>
    </row>
    <row r="358" spans="1:17" s="15" customFormat="1" ht="38.25" customHeight="1" x14ac:dyDescent="0.2">
      <c r="A358" s="43" t="s">
        <v>1060</v>
      </c>
      <c r="B358" s="46" t="s">
        <v>1067</v>
      </c>
      <c r="C358" s="44" t="s">
        <v>25</v>
      </c>
      <c r="D358" s="47" t="s">
        <v>41</v>
      </c>
      <c r="E358" s="46" t="s">
        <v>1073</v>
      </c>
      <c r="F358" s="35">
        <v>30000</v>
      </c>
      <c r="G358" s="40">
        <v>15000</v>
      </c>
      <c r="H358" s="35">
        <v>30000</v>
      </c>
      <c r="I358" s="35">
        <f t="shared" si="64"/>
        <v>45000</v>
      </c>
      <c r="J358" s="36">
        <f t="shared" si="65"/>
        <v>2</v>
      </c>
      <c r="K358" s="48" t="s">
        <v>37</v>
      </c>
      <c r="L358" s="48" t="s">
        <v>37</v>
      </c>
      <c r="M358" s="38">
        <v>41455</v>
      </c>
      <c r="N358" s="48" t="s">
        <v>36</v>
      </c>
      <c r="O358" s="35">
        <v>30000</v>
      </c>
      <c r="P358" s="35"/>
      <c r="Q358" s="35"/>
    </row>
    <row r="359" spans="1:17" s="15" customFormat="1" ht="26.25" customHeight="1" x14ac:dyDescent="0.2">
      <c r="A359" s="43" t="s">
        <v>1061</v>
      </c>
      <c r="B359" s="46" t="s">
        <v>39</v>
      </c>
      <c r="C359" s="44" t="s">
        <v>230</v>
      </c>
      <c r="D359" s="34">
        <v>5345</v>
      </c>
      <c r="E359" s="46" t="s">
        <v>1074</v>
      </c>
      <c r="F359" s="35">
        <f>19147*3</f>
        <v>57441</v>
      </c>
      <c r="G359" s="40">
        <f>19147*3</f>
        <v>57441</v>
      </c>
      <c r="H359" s="35">
        <v>0</v>
      </c>
      <c r="I359" s="35">
        <f t="shared" ref="I359:I364" si="66">G359+H359</f>
        <v>57441</v>
      </c>
      <c r="J359" s="36">
        <f t="shared" ref="J359:J364" si="67">IF(G359=0,100%,(I359-G359)/G359)</f>
        <v>0</v>
      </c>
      <c r="K359" s="48" t="s">
        <v>37</v>
      </c>
      <c r="L359" s="48" t="s">
        <v>37</v>
      </c>
      <c r="M359" s="38">
        <v>41698</v>
      </c>
      <c r="N359" s="48" t="s">
        <v>64</v>
      </c>
      <c r="O359" s="35">
        <v>19147</v>
      </c>
      <c r="P359" s="35">
        <v>19147</v>
      </c>
      <c r="Q359" s="49">
        <v>19147</v>
      </c>
    </row>
    <row r="360" spans="1:17" s="15" customFormat="1" ht="26.25" customHeight="1" x14ac:dyDescent="0.2">
      <c r="A360" s="43" t="s">
        <v>1062</v>
      </c>
      <c r="B360" s="46" t="s">
        <v>39</v>
      </c>
      <c r="C360" s="44" t="s">
        <v>230</v>
      </c>
      <c r="D360" s="34">
        <v>5346</v>
      </c>
      <c r="E360" s="46" t="s">
        <v>1075</v>
      </c>
      <c r="F360" s="35">
        <f>18785*3</f>
        <v>56355</v>
      </c>
      <c r="G360" s="40">
        <f>18785*3</f>
        <v>56355</v>
      </c>
      <c r="H360" s="35">
        <v>0</v>
      </c>
      <c r="I360" s="35">
        <f t="shared" si="66"/>
        <v>56355</v>
      </c>
      <c r="J360" s="36">
        <f t="shared" si="67"/>
        <v>0</v>
      </c>
      <c r="K360" s="48" t="s">
        <v>37</v>
      </c>
      <c r="L360" s="48" t="s">
        <v>37</v>
      </c>
      <c r="M360" s="38">
        <v>41698</v>
      </c>
      <c r="N360" s="48" t="s">
        <v>64</v>
      </c>
      <c r="O360" s="35">
        <v>18785</v>
      </c>
      <c r="P360" s="35">
        <v>18785</v>
      </c>
      <c r="Q360" s="35">
        <v>18785</v>
      </c>
    </row>
    <row r="361" spans="1:17" s="15" customFormat="1" ht="26.25" customHeight="1" x14ac:dyDescent="0.2">
      <c r="A361" s="43" t="s">
        <v>1063</v>
      </c>
      <c r="B361" s="46" t="s">
        <v>21</v>
      </c>
      <c r="C361" s="44" t="s">
        <v>1069</v>
      </c>
      <c r="D361" s="34">
        <v>5349</v>
      </c>
      <c r="E361" s="46" t="s">
        <v>1076</v>
      </c>
      <c r="F361" s="35">
        <v>40385</v>
      </c>
      <c r="G361" s="40">
        <v>40385</v>
      </c>
      <c r="H361" s="35">
        <v>0</v>
      </c>
      <c r="I361" s="35">
        <f t="shared" si="66"/>
        <v>40385</v>
      </c>
      <c r="J361" s="36">
        <f t="shared" si="67"/>
        <v>0</v>
      </c>
      <c r="K361" s="48" t="s">
        <v>37</v>
      </c>
      <c r="L361" s="48" t="s">
        <v>37</v>
      </c>
      <c r="M361" s="38">
        <v>41362</v>
      </c>
      <c r="N361" s="48"/>
      <c r="O361" s="35">
        <v>40385</v>
      </c>
      <c r="P361" s="35"/>
      <c r="Q361" s="35"/>
    </row>
    <row r="362" spans="1:17" s="15" customFormat="1" ht="26.25" customHeight="1" x14ac:dyDescent="0.2">
      <c r="A362" s="43" t="s">
        <v>1064</v>
      </c>
      <c r="B362" s="46" t="s">
        <v>39</v>
      </c>
      <c r="C362" s="44" t="s">
        <v>1070</v>
      </c>
      <c r="D362" s="34">
        <v>5363</v>
      </c>
      <c r="E362" s="46" t="s">
        <v>1077</v>
      </c>
      <c r="F362" s="35">
        <v>18123</v>
      </c>
      <c r="G362" s="40">
        <v>18123</v>
      </c>
      <c r="H362" s="35">
        <v>0</v>
      </c>
      <c r="I362" s="35">
        <f t="shared" si="66"/>
        <v>18123</v>
      </c>
      <c r="J362" s="36">
        <f t="shared" si="67"/>
        <v>0</v>
      </c>
      <c r="K362" s="48" t="s">
        <v>37</v>
      </c>
      <c r="L362" s="48" t="s">
        <v>37</v>
      </c>
      <c r="M362" s="38">
        <v>41455</v>
      </c>
      <c r="N362" s="48"/>
      <c r="O362" s="35">
        <v>18123</v>
      </c>
      <c r="P362" s="35"/>
      <c r="Q362" s="35"/>
    </row>
    <row r="363" spans="1:17" s="15" customFormat="1" ht="26.25" customHeight="1" x14ac:dyDescent="0.2">
      <c r="A363" s="43" t="s">
        <v>1065</v>
      </c>
      <c r="B363" s="46" t="s">
        <v>21</v>
      </c>
      <c r="C363" s="44" t="s">
        <v>1071</v>
      </c>
      <c r="D363" s="34">
        <v>5366</v>
      </c>
      <c r="E363" s="46" t="s">
        <v>1078</v>
      </c>
      <c r="F363" s="35">
        <v>24597</v>
      </c>
      <c r="G363" s="40">
        <v>24597</v>
      </c>
      <c r="H363" s="35">
        <v>0</v>
      </c>
      <c r="I363" s="35">
        <f t="shared" si="66"/>
        <v>24597</v>
      </c>
      <c r="J363" s="36">
        <f t="shared" si="67"/>
        <v>0</v>
      </c>
      <c r="K363" s="48" t="s">
        <v>37</v>
      </c>
      <c r="L363" s="48" t="s">
        <v>37</v>
      </c>
      <c r="M363" s="38">
        <v>41362</v>
      </c>
      <c r="N363" s="48"/>
      <c r="O363" s="35">
        <v>24597</v>
      </c>
      <c r="P363" s="35"/>
      <c r="Q363" s="35"/>
    </row>
    <row r="364" spans="1:17" s="15" customFormat="1" ht="26.25" customHeight="1" x14ac:dyDescent="0.2">
      <c r="A364" s="43" t="s">
        <v>1066</v>
      </c>
      <c r="B364" s="46" t="s">
        <v>1068</v>
      </c>
      <c r="C364" s="44" t="s">
        <v>1072</v>
      </c>
      <c r="D364" s="34">
        <v>5388</v>
      </c>
      <c r="E364" s="46" t="s">
        <v>1079</v>
      </c>
      <c r="F364" s="35">
        <f>25000*3</f>
        <v>75000</v>
      </c>
      <c r="G364" s="40">
        <f>25000*3</f>
        <v>75000</v>
      </c>
      <c r="H364" s="35">
        <v>0</v>
      </c>
      <c r="I364" s="35">
        <f t="shared" si="66"/>
        <v>75000</v>
      </c>
      <c r="J364" s="36">
        <f t="shared" si="67"/>
        <v>0</v>
      </c>
      <c r="K364" s="48" t="s">
        <v>37</v>
      </c>
      <c r="L364" s="48" t="s">
        <v>37</v>
      </c>
      <c r="M364" s="38">
        <v>41455</v>
      </c>
      <c r="N364" s="48" t="s">
        <v>64</v>
      </c>
      <c r="O364" s="35">
        <v>25000</v>
      </c>
      <c r="P364" s="35">
        <v>25000</v>
      </c>
      <c r="Q364" s="35">
        <v>25000</v>
      </c>
    </row>
    <row r="365" spans="1:17" s="15" customFormat="1" ht="38.25" customHeight="1" x14ac:dyDescent="0.2">
      <c r="A365" s="43" t="s">
        <v>1081</v>
      </c>
      <c r="B365" s="46" t="s">
        <v>75</v>
      </c>
      <c r="C365" s="44" t="s">
        <v>1082</v>
      </c>
      <c r="D365" s="34">
        <v>5301</v>
      </c>
      <c r="E365" s="46" t="s">
        <v>1084</v>
      </c>
      <c r="F365" s="35">
        <v>97600</v>
      </c>
      <c r="G365" s="40">
        <v>97600</v>
      </c>
      <c r="H365" s="35">
        <v>0</v>
      </c>
      <c r="I365" s="35">
        <f t="shared" ref="I365:I372" si="68">G365+H365</f>
        <v>97600</v>
      </c>
      <c r="J365" s="36">
        <f t="shared" ref="J365:J372" si="69">IF(G365=0,100%,(I365-G365)/G365)</f>
        <v>0</v>
      </c>
      <c r="K365" s="48" t="s">
        <v>37</v>
      </c>
      <c r="L365" s="48" t="s">
        <v>37</v>
      </c>
      <c r="M365" s="38">
        <v>41455</v>
      </c>
      <c r="N365" s="48"/>
      <c r="O365" s="35">
        <v>97600</v>
      </c>
      <c r="P365" s="35"/>
      <c r="Q365" s="35"/>
    </row>
    <row r="366" spans="1:17" s="15" customFormat="1" ht="26.25" customHeight="1" x14ac:dyDescent="0.2">
      <c r="A366" s="43" t="s">
        <v>1080</v>
      </c>
      <c r="B366" s="46" t="s">
        <v>17</v>
      </c>
      <c r="C366" s="44" t="s">
        <v>1083</v>
      </c>
      <c r="D366" s="34">
        <v>4813</v>
      </c>
      <c r="E366" s="46" t="s">
        <v>1229</v>
      </c>
      <c r="F366" s="35">
        <f>94991*3</f>
        <v>284973</v>
      </c>
      <c r="G366" s="40">
        <f>94991*3</f>
        <v>284973</v>
      </c>
      <c r="H366" s="35">
        <v>0</v>
      </c>
      <c r="I366" s="35">
        <f t="shared" si="68"/>
        <v>284973</v>
      </c>
      <c r="J366" s="36">
        <f t="shared" si="69"/>
        <v>0</v>
      </c>
      <c r="K366" s="48" t="s">
        <v>42</v>
      </c>
      <c r="L366" s="48" t="s">
        <v>37</v>
      </c>
      <c r="M366" s="38">
        <v>41639</v>
      </c>
      <c r="N366" s="48" t="s">
        <v>64</v>
      </c>
      <c r="O366" s="35">
        <v>94991</v>
      </c>
      <c r="P366" s="35">
        <v>94991</v>
      </c>
      <c r="Q366" s="35">
        <v>94991</v>
      </c>
    </row>
    <row r="367" spans="1:17" s="15" customFormat="1" ht="26.25" customHeight="1" x14ac:dyDescent="0.2">
      <c r="A367" s="43" t="s">
        <v>1085</v>
      </c>
      <c r="B367" s="46" t="s">
        <v>1067</v>
      </c>
      <c r="C367" s="44" t="s">
        <v>1092</v>
      </c>
      <c r="D367" s="34">
        <v>5464</v>
      </c>
      <c r="E367" s="46" t="s">
        <v>1096</v>
      </c>
      <c r="F367" s="35">
        <v>30000</v>
      </c>
      <c r="G367" s="40">
        <v>30000</v>
      </c>
      <c r="H367" s="35">
        <v>0</v>
      </c>
      <c r="I367" s="35">
        <f t="shared" si="68"/>
        <v>30000</v>
      </c>
      <c r="J367" s="36">
        <f t="shared" si="69"/>
        <v>0</v>
      </c>
      <c r="K367" s="48" t="s">
        <v>37</v>
      </c>
      <c r="L367" s="48" t="s">
        <v>37</v>
      </c>
      <c r="M367" s="38">
        <v>41547</v>
      </c>
      <c r="N367" s="48"/>
      <c r="O367" s="35">
        <v>30000</v>
      </c>
      <c r="P367" s="35"/>
      <c r="Q367" s="35"/>
    </row>
    <row r="368" spans="1:17" s="15" customFormat="1" ht="38.25" customHeight="1" x14ac:dyDescent="0.2">
      <c r="A368" s="43" t="s">
        <v>1086</v>
      </c>
      <c r="B368" s="46" t="s">
        <v>66</v>
      </c>
      <c r="C368" s="44" t="s">
        <v>1093</v>
      </c>
      <c r="D368" s="34">
        <v>5356</v>
      </c>
      <c r="E368" s="46" t="s">
        <v>1100</v>
      </c>
      <c r="F368" s="35">
        <f>5529*3</f>
        <v>16587</v>
      </c>
      <c r="G368" s="40">
        <f>5529*3</f>
        <v>16587</v>
      </c>
      <c r="H368" s="35">
        <v>0</v>
      </c>
      <c r="I368" s="35">
        <f t="shared" si="68"/>
        <v>16587</v>
      </c>
      <c r="J368" s="36">
        <f t="shared" si="69"/>
        <v>0</v>
      </c>
      <c r="K368" s="48" t="s">
        <v>37</v>
      </c>
      <c r="L368" s="48" t="s">
        <v>37</v>
      </c>
      <c r="M368" s="38">
        <v>41670</v>
      </c>
      <c r="N368" s="48" t="s">
        <v>64</v>
      </c>
      <c r="O368" s="35">
        <v>5529</v>
      </c>
      <c r="P368" s="35">
        <v>5529</v>
      </c>
      <c r="Q368" s="35">
        <v>5529</v>
      </c>
    </row>
    <row r="369" spans="1:17" s="15" customFormat="1" ht="26.25" customHeight="1" x14ac:dyDescent="0.2">
      <c r="A369" s="43" t="s">
        <v>1087</v>
      </c>
      <c r="B369" s="46" t="s">
        <v>1090</v>
      </c>
      <c r="C369" s="44" t="s">
        <v>1094</v>
      </c>
      <c r="D369" s="34">
        <v>5377</v>
      </c>
      <c r="E369" s="46" t="s">
        <v>1099</v>
      </c>
      <c r="F369" s="35">
        <v>45000</v>
      </c>
      <c r="G369" s="40">
        <v>45000</v>
      </c>
      <c r="H369" s="35">
        <v>0</v>
      </c>
      <c r="I369" s="35">
        <f t="shared" si="68"/>
        <v>45000</v>
      </c>
      <c r="J369" s="36">
        <f t="shared" si="69"/>
        <v>0</v>
      </c>
      <c r="K369" s="48" t="s">
        <v>37</v>
      </c>
      <c r="L369" s="48" t="s">
        <v>37</v>
      </c>
      <c r="M369" s="38">
        <v>41455</v>
      </c>
      <c r="N369" s="48"/>
      <c r="O369" s="35">
        <v>45000</v>
      </c>
      <c r="P369" s="35"/>
      <c r="Q369" s="35"/>
    </row>
    <row r="370" spans="1:17" s="15" customFormat="1" ht="26.25" customHeight="1" x14ac:dyDescent="0.2">
      <c r="A370" s="43" t="s">
        <v>1088</v>
      </c>
      <c r="B370" s="46" t="s">
        <v>1091</v>
      </c>
      <c r="C370" s="44" t="s">
        <v>1095</v>
      </c>
      <c r="D370" s="34">
        <v>5411</v>
      </c>
      <c r="E370" s="46" t="s">
        <v>1098</v>
      </c>
      <c r="F370" s="35">
        <f>21745*3</f>
        <v>65235</v>
      </c>
      <c r="G370" s="40">
        <f>21745*3</f>
        <v>65235</v>
      </c>
      <c r="H370" s="35">
        <v>0</v>
      </c>
      <c r="I370" s="35">
        <f t="shared" si="68"/>
        <v>65235</v>
      </c>
      <c r="J370" s="36">
        <f t="shared" si="69"/>
        <v>0</v>
      </c>
      <c r="K370" s="48" t="s">
        <v>37</v>
      </c>
      <c r="L370" s="48" t="s">
        <v>37</v>
      </c>
      <c r="M370" s="38">
        <v>41670</v>
      </c>
      <c r="N370" s="48" t="s">
        <v>64</v>
      </c>
      <c r="O370" s="35">
        <v>21745</v>
      </c>
      <c r="P370" s="35">
        <v>21745</v>
      </c>
      <c r="Q370" s="35">
        <v>21745</v>
      </c>
    </row>
    <row r="371" spans="1:17" s="15" customFormat="1" ht="26.25" customHeight="1" x14ac:dyDescent="0.2">
      <c r="A371" s="43" t="s">
        <v>1089</v>
      </c>
      <c r="B371" s="46" t="s">
        <v>17</v>
      </c>
      <c r="C371" s="44" t="s">
        <v>892</v>
      </c>
      <c r="D371" s="34">
        <v>5418</v>
      </c>
      <c r="E371" s="46" t="s">
        <v>1097</v>
      </c>
      <c r="F371" s="35">
        <f>9000*3</f>
        <v>27000</v>
      </c>
      <c r="G371" s="40">
        <f>9000*3</f>
        <v>27000</v>
      </c>
      <c r="H371" s="35">
        <v>0</v>
      </c>
      <c r="I371" s="35">
        <f t="shared" si="68"/>
        <v>27000</v>
      </c>
      <c r="J371" s="36">
        <f t="shared" si="69"/>
        <v>0</v>
      </c>
      <c r="K371" s="48" t="s">
        <v>37</v>
      </c>
      <c r="L371" s="48" t="s">
        <v>42</v>
      </c>
      <c r="M371" s="38">
        <v>41517</v>
      </c>
      <c r="N371" s="48" t="s">
        <v>64</v>
      </c>
      <c r="O371" s="35">
        <v>9000</v>
      </c>
      <c r="P371" s="35">
        <v>9000</v>
      </c>
      <c r="Q371" s="35">
        <v>9000</v>
      </c>
    </row>
    <row r="372" spans="1:17" s="15" customFormat="1" ht="26.25" customHeight="1" x14ac:dyDescent="0.2">
      <c r="A372" s="43" t="s">
        <v>1101</v>
      </c>
      <c r="B372" s="46" t="s">
        <v>76</v>
      </c>
      <c r="C372" s="44" t="s">
        <v>1110</v>
      </c>
      <c r="D372" s="34">
        <v>5002</v>
      </c>
      <c r="E372" s="46" t="s">
        <v>1116</v>
      </c>
      <c r="F372" s="35">
        <f>15000*3</f>
        <v>45000</v>
      </c>
      <c r="G372" s="40">
        <f>15000*3</f>
        <v>45000</v>
      </c>
      <c r="H372" s="35">
        <v>0</v>
      </c>
      <c r="I372" s="35">
        <f t="shared" si="68"/>
        <v>45000</v>
      </c>
      <c r="J372" s="36">
        <f t="shared" si="69"/>
        <v>0</v>
      </c>
      <c r="K372" s="48" t="s">
        <v>37</v>
      </c>
      <c r="L372" s="48" t="s">
        <v>37</v>
      </c>
      <c r="M372" s="38">
        <v>41455</v>
      </c>
      <c r="N372" s="48" t="s">
        <v>64</v>
      </c>
      <c r="O372" s="35">
        <v>15000</v>
      </c>
      <c r="P372" s="35">
        <v>15000</v>
      </c>
      <c r="Q372" s="35">
        <v>15000</v>
      </c>
    </row>
    <row r="373" spans="1:17" s="15" customFormat="1" ht="26.25" customHeight="1" x14ac:dyDescent="0.2">
      <c r="A373" s="43" t="s">
        <v>1102</v>
      </c>
      <c r="B373" s="46" t="s">
        <v>17</v>
      </c>
      <c r="C373" s="44" t="s">
        <v>1111</v>
      </c>
      <c r="D373" s="34">
        <v>5393</v>
      </c>
      <c r="E373" s="46" t="s">
        <v>1117</v>
      </c>
      <c r="F373" s="35">
        <v>7000</v>
      </c>
      <c r="G373" s="40">
        <v>7000</v>
      </c>
      <c r="H373" s="35">
        <v>0</v>
      </c>
      <c r="I373" s="35">
        <f t="shared" ref="I373:I380" si="70">G373+H373</f>
        <v>7000</v>
      </c>
      <c r="J373" s="36">
        <f t="shared" ref="J373:J380" si="71">IF(G373=0,100%,(I373-G373)/G373)</f>
        <v>0</v>
      </c>
      <c r="K373" s="48" t="s">
        <v>37</v>
      </c>
      <c r="L373" s="48" t="s">
        <v>42</v>
      </c>
      <c r="M373" s="38">
        <v>41362</v>
      </c>
      <c r="N373" s="48"/>
      <c r="O373" s="35">
        <v>7000</v>
      </c>
      <c r="P373" s="35"/>
      <c r="Q373" s="35"/>
    </row>
    <row r="374" spans="1:17" s="15" customFormat="1" ht="26.25" customHeight="1" x14ac:dyDescent="0.2">
      <c r="A374" s="43" t="s">
        <v>1103</v>
      </c>
      <c r="B374" s="46" t="s">
        <v>1091</v>
      </c>
      <c r="C374" s="44" t="s">
        <v>666</v>
      </c>
      <c r="D374" s="34">
        <v>5458</v>
      </c>
      <c r="E374" s="46" t="s">
        <v>1118</v>
      </c>
      <c r="F374" s="35">
        <f>28865*3</f>
        <v>86595</v>
      </c>
      <c r="G374" s="40">
        <f>28865*3</f>
        <v>86595</v>
      </c>
      <c r="H374" s="35">
        <v>0</v>
      </c>
      <c r="I374" s="35">
        <f t="shared" si="70"/>
        <v>86595</v>
      </c>
      <c r="J374" s="36">
        <f t="shared" si="71"/>
        <v>0</v>
      </c>
      <c r="K374" s="48" t="s">
        <v>37</v>
      </c>
      <c r="L374" s="48" t="s">
        <v>37</v>
      </c>
      <c r="M374" s="38">
        <v>41455</v>
      </c>
      <c r="N374" s="48" t="s">
        <v>64</v>
      </c>
      <c r="O374" s="35">
        <v>28865</v>
      </c>
      <c r="P374" s="35">
        <v>28865</v>
      </c>
      <c r="Q374" s="35">
        <v>28865</v>
      </c>
    </row>
    <row r="375" spans="1:17" s="15" customFormat="1" ht="26.25" customHeight="1" x14ac:dyDescent="0.2">
      <c r="A375" s="43" t="s">
        <v>1104</v>
      </c>
      <c r="B375" s="46" t="s">
        <v>76</v>
      </c>
      <c r="C375" s="44" t="s">
        <v>1112</v>
      </c>
      <c r="D375" s="34">
        <v>5470</v>
      </c>
      <c r="E375" s="46" t="s">
        <v>1119</v>
      </c>
      <c r="F375" s="35">
        <f>22500*3</f>
        <v>67500</v>
      </c>
      <c r="G375" s="40">
        <f>22500*3</f>
        <v>67500</v>
      </c>
      <c r="H375" s="35">
        <v>0</v>
      </c>
      <c r="I375" s="35">
        <f t="shared" si="70"/>
        <v>67500</v>
      </c>
      <c r="J375" s="36">
        <f t="shared" si="71"/>
        <v>0</v>
      </c>
      <c r="K375" s="48" t="s">
        <v>37</v>
      </c>
      <c r="L375" s="48" t="s">
        <v>42</v>
      </c>
      <c r="M375" s="38">
        <v>41759</v>
      </c>
      <c r="N375" s="48" t="s">
        <v>64</v>
      </c>
      <c r="O375" s="35">
        <v>22500</v>
      </c>
      <c r="P375" s="35">
        <v>22500</v>
      </c>
      <c r="Q375" s="35">
        <v>22500</v>
      </c>
    </row>
    <row r="376" spans="1:17" s="15" customFormat="1" ht="26.25" customHeight="1" x14ac:dyDescent="0.2">
      <c r="A376" s="43" t="s">
        <v>1105</v>
      </c>
      <c r="B376" s="46" t="s">
        <v>48</v>
      </c>
      <c r="C376" s="44" t="s">
        <v>1113</v>
      </c>
      <c r="D376" s="34">
        <v>5494</v>
      </c>
      <c r="E376" s="46" t="s">
        <v>1120</v>
      </c>
      <c r="F376" s="35">
        <v>15003</v>
      </c>
      <c r="G376" s="40">
        <v>15003</v>
      </c>
      <c r="H376" s="35">
        <v>0</v>
      </c>
      <c r="I376" s="35">
        <f t="shared" si="70"/>
        <v>15003</v>
      </c>
      <c r="J376" s="36">
        <f t="shared" si="71"/>
        <v>0</v>
      </c>
      <c r="K376" s="48" t="s">
        <v>37</v>
      </c>
      <c r="L376" s="48" t="s">
        <v>37</v>
      </c>
      <c r="M376" s="38">
        <v>41329</v>
      </c>
      <c r="N376" s="48"/>
      <c r="O376" s="35">
        <v>15003</v>
      </c>
      <c r="P376" s="35"/>
      <c r="Q376" s="35"/>
    </row>
    <row r="377" spans="1:17" s="15" customFormat="1" ht="26.25" customHeight="1" x14ac:dyDescent="0.2">
      <c r="A377" s="43" t="s">
        <v>1106</v>
      </c>
      <c r="B377" s="46" t="s">
        <v>39</v>
      </c>
      <c r="C377" s="44" t="s">
        <v>230</v>
      </c>
      <c r="D377" s="34">
        <v>5497</v>
      </c>
      <c r="E377" s="46" t="s">
        <v>1121</v>
      </c>
      <c r="F377" s="40">
        <f>17864+18400+19000</f>
        <v>55264</v>
      </c>
      <c r="G377" s="40">
        <f>17864+18400+19000</f>
        <v>55264</v>
      </c>
      <c r="H377" s="35">
        <v>0</v>
      </c>
      <c r="I377" s="35">
        <f t="shared" si="70"/>
        <v>55264</v>
      </c>
      <c r="J377" s="36">
        <f t="shared" si="71"/>
        <v>0</v>
      </c>
      <c r="K377" s="48" t="s">
        <v>37</v>
      </c>
      <c r="L377" s="48" t="s">
        <v>37</v>
      </c>
      <c r="M377" s="38">
        <v>41488</v>
      </c>
      <c r="N377" s="48" t="s">
        <v>64</v>
      </c>
      <c r="O377" s="35">
        <v>17864</v>
      </c>
      <c r="P377" s="35">
        <v>18400</v>
      </c>
      <c r="Q377" s="35">
        <v>19000</v>
      </c>
    </row>
    <row r="378" spans="1:17" s="15" customFormat="1" ht="26.25" customHeight="1" x14ac:dyDescent="0.2">
      <c r="A378" s="43" t="s">
        <v>1107</v>
      </c>
      <c r="B378" s="46" t="s">
        <v>40</v>
      </c>
      <c r="C378" s="44" t="s">
        <v>207</v>
      </c>
      <c r="D378" s="47" t="s">
        <v>1115</v>
      </c>
      <c r="E378" s="46" t="s">
        <v>1122</v>
      </c>
      <c r="F378" s="35">
        <f>20000+20000+20000</f>
        <v>60000</v>
      </c>
      <c r="G378" s="40">
        <v>20000</v>
      </c>
      <c r="H378" s="35">
        <v>60000</v>
      </c>
      <c r="I378" s="35">
        <f t="shared" si="70"/>
        <v>80000</v>
      </c>
      <c r="J378" s="36">
        <f t="shared" si="71"/>
        <v>3</v>
      </c>
      <c r="K378" s="48" t="s">
        <v>37</v>
      </c>
      <c r="L378" s="48" t="s">
        <v>37</v>
      </c>
      <c r="M378" s="38">
        <v>41455</v>
      </c>
      <c r="N378" s="48" t="s">
        <v>64</v>
      </c>
      <c r="O378" s="35">
        <v>20000</v>
      </c>
      <c r="P378" s="35">
        <v>20000</v>
      </c>
      <c r="Q378" s="35">
        <v>20000</v>
      </c>
    </row>
    <row r="379" spans="1:17" s="15" customFormat="1" ht="38.25" customHeight="1" x14ac:dyDescent="0.2">
      <c r="A379" s="43" t="s">
        <v>1108</v>
      </c>
      <c r="B379" s="46" t="s">
        <v>18</v>
      </c>
      <c r="C379" s="44" t="s">
        <v>966</v>
      </c>
      <c r="D379" s="34">
        <v>5505</v>
      </c>
      <c r="E379" s="46" t="s">
        <v>1123</v>
      </c>
      <c r="F379" s="35">
        <v>15000</v>
      </c>
      <c r="G379" s="40">
        <v>5000</v>
      </c>
      <c r="H379" s="35">
        <v>15000</v>
      </c>
      <c r="I379" s="35">
        <f t="shared" si="70"/>
        <v>20000</v>
      </c>
      <c r="J379" s="36">
        <f t="shared" si="71"/>
        <v>3</v>
      </c>
      <c r="K379" s="48" t="s">
        <v>37</v>
      </c>
      <c r="L379" s="48" t="s">
        <v>37</v>
      </c>
      <c r="M379" s="52" t="s">
        <v>69</v>
      </c>
      <c r="N379" s="48" t="s">
        <v>36</v>
      </c>
      <c r="O379" s="35">
        <v>15000</v>
      </c>
      <c r="P379" s="35"/>
      <c r="Q379" s="35"/>
    </row>
    <row r="380" spans="1:17" s="15" customFormat="1" ht="26.25" customHeight="1" x14ac:dyDescent="0.2">
      <c r="A380" s="43" t="s">
        <v>1109</v>
      </c>
      <c r="B380" s="46" t="s">
        <v>17</v>
      </c>
      <c r="C380" s="44" t="s">
        <v>1114</v>
      </c>
      <c r="D380" s="34">
        <v>5508</v>
      </c>
      <c r="E380" s="46" t="s">
        <v>1124</v>
      </c>
      <c r="F380" s="35">
        <v>21000</v>
      </c>
      <c r="G380" s="40">
        <v>21000</v>
      </c>
      <c r="H380" s="35">
        <v>0</v>
      </c>
      <c r="I380" s="35">
        <f t="shared" si="70"/>
        <v>21000</v>
      </c>
      <c r="J380" s="36">
        <f t="shared" si="71"/>
        <v>0</v>
      </c>
      <c r="K380" s="48" t="s">
        <v>42</v>
      </c>
      <c r="L380" s="48" t="s">
        <v>37</v>
      </c>
      <c r="M380" s="38">
        <v>41341</v>
      </c>
      <c r="N380" s="48"/>
      <c r="O380" s="35">
        <v>21000</v>
      </c>
      <c r="P380" s="35"/>
      <c r="Q380" s="35"/>
    </row>
    <row r="381" spans="1:17" s="15" customFormat="1" ht="26.25" customHeight="1" x14ac:dyDescent="0.2">
      <c r="A381" s="43" t="s">
        <v>1125</v>
      </c>
      <c r="B381" s="46" t="s">
        <v>39</v>
      </c>
      <c r="C381" s="44" t="s">
        <v>1129</v>
      </c>
      <c r="D381" s="34">
        <v>5390</v>
      </c>
      <c r="E381" s="46" t="s">
        <v>1130</v>
      </c>
      <c r="F381" s="35">
        <f>61300*3</f>
        <v>183900</v>
      </c>
      <c r="G381" s="40">
        <f>61300*3</f>
        <v>183900</v>
      </c>
      <c r="H381" s="35">
        <v>0</v>
      </c>
      <c r="I381" s="35">
        <f>G381+H381</f>
        <v>183900</v>
      </c>
      <c r="J381" s="36">
        <f>IF(G381=0,100%,(I381-G381)/G381)</f>
        <v>0</v>
      </c>
      <c r="K381" s="48" t="s">
        <v>37</v>
      </c>
      <c r="L381" s="48" t="s">
        <v>37</v>
      </c>
      <c r="M381" s="38">
        <v>41704</v>
      </c>
      <c r="N381" s="48" t="s">
        <v>64</v>
      </c>
      <c r="O381" s="35">
        <v>61300</v>
      </c>
      <c r="P381" s="35">
        <v>61300</v>
      </c>
      <c r="Q381" s="35">
        <v>61300</v>
      </c>
    </row>
    <row r="382" spans="1:17" s="15" customFormat="1" ht="26.25" customHeight="1" x14ac:dyDescent="0.2">
      <c r="A382" s="43" t="s">
        <v>1126</v>
      </c>
      <c r="B382" s="46" t="s">
        <v>1128</v>
      </c>
      <c r="C382" s="44" t="s">
        <v>309</v>
      </c>
      <c r="D382" s="34">
        <v>5468</v>
      </c>
      <c r="E382" s="46" t="s">
        <v>1131</v>
      </c>
      <c r="F382" s="35">
        <v>76500</v>
      </c>
      <c r="G382" s="40">
        <v>76500</v>
      </c>
      <c r="H382" s="35">
        <v>0</v>
      </c>
      <c r="I382" s="35">
        <f>G382+H382</f>
        <v>76500</v>
      </c>
      <c r="J382" s="36">
        <f>IF(G382=0,100%,(I382-G382)/G382)</f>
        <v>0</v>
      </c>
      <c r="K382" s="48" t="s">
        <v>37</v>
      </c>
      <c r="L382" s="48" t="s">
        <v>37</v>
      </c>
      <c r="M382" s="38">
        <v>41578</v>
      </c>
      <c r="N382" s="48"/>
      <c r="O382" s="35">
        <v>76500</v>
      </c>
      <c r="P382" s="35"/>
      <c r="Q382" s="35"/>
    </row>
    <row r="383" spans="1:17" s="15" customFormat="1" ht="18" customHeight="1" x14ac:dyDescent="0.2">
      <c r="A383" s="43" t="s">
        <v>1127</v>
      </c>
      <c r="B383" s="46" t="s">
        <v>43</v>
      </c>
      <c r="C383" s="44"/>
      <c r="D383" s="34"/>
      <c r="E383" s="46"/>
      <c r="F383" s="35"/>
      <c r="G383" s="40"/>
      <c r="H383" s="35"/>
      <c r="I383" s="35"/>
      <c r="J383" s="36"/>
      <c r="K383" s="48"/>
      <c r="L383" s="48"/>
      <c r="M383" s="38"/>
      <c r="N383" s="48"/>
      <c r="O383" s="35"/>
      <c r="P383" s="35"/>
      <c r="Q383" s="35"/>
    </row>
    <row r="384" spans="1:17" s="15" customFormat="1" ht="26.25" customHeight="1" x14ac:dyDescent="0.2">
      <c r="A384" s="43" t="s">
        <v>1132</v>
      </c>
      <c r="B384" s="46" t="s">
        <v>21</v>
      </c>
      <c r="C384" s="44" t="s">
        <v>1137</v>
      </c>
      <c r="D384" s="34">
        <v>5581</v>
      </c>
      <c r="E384" s="46" t="s">
        <v>1139</v>
      </c>
      <c r="F384" s="35">
        <v>16740</v>
      </c>
      <c r="G384" s="40">
        <v>16740</v>
      </c>
      <c r="H384" s="35">
        <v>0</v>
      </c>
      <c r="I384" s="35">
        <f t="shared" ref="I384:I395" si="72">G384+H384</f>
        <v>16740</v>
      </c>
      <c r="J384" s="36">
        <f t="shared" ref="J384:J395" si="73">IF(G384=0,100%,(I384-G384)/G384)</f>
        <v>0</v>
      </c>
      <c r="K384" s="48" t="s">
        <v>37</v>
      </c>
      <c r="L384" s="48" t="s">
        <v>37</v>
      </c>
      <c r="M384" s="38">
        <v>41362</v>
      </c>
      <c r="N384" s="48"/>
      <c r="O384" s="35">
        <v>16740</v>
      </c>
      <c r="P384" s="35"/>
      <c r="Q384" s="35"/>
    </row>
    <row r="385" spans="1:17" s="15" customFormat="1" ht="26.25" customHeight="1" x14ac:dyDescent="0.2">
      <c r="A385" s="43" t="s">
        <v>1133</v>
      </c>
      <c r="B385" s="46" t="s">
        <v>17</v>
      </c>
      <c r="C385" s="44" t="s">
        <v>1138</v>
      </c>
      <c r="D385" s="34">
        <v>5583</v>
      </c>
      <c r="E385" s="46" t="s">
        <v>1140</v>
      </c>
      <c r="F385" s="35">
        <f>40320*2</f>
        <v>80640</v>
      </c>
      <c r="G385" s="40">
        <f>40320*2</f>
        <v>80640</v>
      </c>
      <c r="H385" s="35">
        <v>0</v>
      </c>
      <c r="I385" s="35">
        <f t="shared" si="72"/>
        <v>80640</v>
      </c>
      <c r="J385" s="36">
        <f t="shared" si="73"/>
        <v>0</v>
      </c>
      <c r="K385" s="48" t="s">
        <v>37</v>
      </c>
      <c r="L385" s="48" t="s">
        <v>42</v>
      </c>
      <c r="M385" s="38">
        <v>41759</v>
      </c>
      <c r="N385" s="48" t="s">
        <v>64</v>
      </c>
      <c r="O385" s="35">
        <v>40320</v>
      </c>
      <c r="P385" s="35">
        <v>40320</v>
      </c>
      <c r="Q385" s="35"/>
    </row>
    <row r="386" spans="1:17" s="15" customFormat="1" ht="18" customHeight="1" x14ac:dyDescent="0.2">
      <c r="A386" s="43" t="s">
        <v>1134</v>
      </c>
      <c r="B386" s="46" t="s">
        <v>39</v>
      </c>
      <c r="C386" s="44" t="s">
        <v>561</v>
      </c>
      <c r="D386" s="34">
        <v>5592</v>
      </c>
      <c r="E386" s="46" t="s">
        <v>1141</v>
      </c>
      <c r="F386" s="35">
        <f>6000+6000+6000</f>
        <v>18000</v>
      </c>
      <c r="G386" s="40">
        <v>10000</v>
      </c>
      <c r="H386" s="35">
        <f>18000</f>
        <v>18000</v>
      </c>
      <c r="I386" s="35">
        <f t="shared" si="72"/>
        <v>28000</v>
      </c>
      <c r="J386" s="36">
        <f t="shared" si="73"/>
        <v>1.8</v>
      </c>
      <c r="K386" s="48" t="s">
        <v>37</v>
      </c>
      <c r="L386" s="48" t="s">
        <v>37</v>
      </c>
      <c r="M386" s="38">
        <v>41455</v>
      </c>
      <c r="N386" s="48" t="s">
        <v>64</v>
      </c>
      <c r="O386" s="35">
        <v>6000</v>
      </c>
      <c r="P386" s="35">
        <v>6000</v>
      </c>
      <c r="Q386" s="35">
        <v>6000</v>
      </c>
    </row>
    <row r="387" spans="1:17" s="15" customFormat="1" ht="26.25" customHeight="1" x14ac:dyDescent="0.2">
      <c r="A387" s="43" t="s">
        <v>1135</v>
      </c>
      <c r="B387" s="46" t="s">
        <v>39</v>
      </c>
      <c r="C387" s="44" t="s">
        <v>230</v>
      </c>
      <c r="D387" s="34">
        <v>5606</v>
      </c>
      <c r="E387" s="46" t="s">
        <v>1142</v>
      </c>
      <c r="F387" s="35">
        <f>49790*3</f>
        <v>149370</v>
      </c>
      <c r="G387" s="40">
        <f>49790*3</f>
        <v>149370</v>
      </c>
      <c r="H387" s="35">
        <v>0</v>
      </c>
      <c r="I387" s="35">
        <f t="shared" si="72"/>
        <v>149370</v>
      </c>
      <c r="J387" s="36">
        <f t="shared" si="73"/>
        <v>0</v>
      </c>
      <c r="K387" s="48" t="s">
        <v>37</v>
      </c>
      <c r="L387" s="48" t="s">
        <v>37</v>
      </c>
      <c r="M387" s="38">
        <v>41790</v>
      </c>
      <c r="N387" s="48" t="s">
        <v>64</v>
      </c>
      <c r="O387" s="35">
        <v>49790</v>
      </c>
      <c r="P387" s="35">
        <v>49790</v>
      </c>
      <c r="Q387" s="35">
        <v>49790</v>
      </c>
    </row>
    <row r="388" spans="1:17" s="15" customFormat="1" ht="26.25" customHeight="1" x14ac:dyDescent="0.2">
      <c r="A388" s="43" t="s">
        <v>1136</v>
      </c>
      <c r="B388" s="46" t="s">
        <v>48</v>
      </c>
      <c r="C388" s="44" t="s">
        <v>60</v>
      </c>
      <c r="D388" s="34">
        <v>5616</v>
      </c>
      <c r="E388" s="46" t="s">
        <v>1143</v>
      </c>
      <c r="F388" s="35">
        <v>19068</v>
      </c>
      <c r="G388" s="40">
        <v>19068</v>
      </c>
      <c r="H388" s="35">
        <v>0</v>
      </c>
      <c r="I388" s="35">
        <f t="shared" si="72"/>
        <v>19068</v>
      </c>
      <c r="J388" s="36">
        <f t="shared" si="73"/>
        <v>0</v>
      </c>
      <c r="K388" s="48" t="s">
        <v>37</v>
      </c>
      <c r="L388" s="48" t="s">
        <v>42</v>
      </c>
      <c r="M388" s="38">
        <v>41683</v>
      </c>
      <c r="N388" s="48"/>
      <c r="O388" s="35">
        <v>19068</v>
      </c>
      <c r="P388" s="35"/>
      <c r="Q388" s="35"/>
    </row>
    <row r="389" spans="1:17" s="15" customFormat="1" ht="26.25" customHeight="1" x14ac:dyDescent="0.2">
      <c r="A389" s="43" t="s">
        <v>1144</v>
      </c>
      <c r="B389" s="46" t="s">
        <v>1150</v>
      </c>
      <c r="C389" s="44" t="s">
        <v>1151</v>
      </c>
      <c r="D389" s="34">
        <v>4838</v>
      </c>
      <c r="E389" s="46" t="s">
        <v>1154</v>
      </c>
      <c r="F389" s="35">
        <v>99000</v>
      </c>
      <c r="G389" s="40">
        <v>99000</v>
      </c>
      <c r="H389" s="35">
        <v>0</v>
      </c>
      <c r="I389" s="35">
        <f t="shared" si="72"/>
        <v>99000</v>
      </c>
      <c r="J389" s="36">
        <f t="shared" si="73"/>
        <v>0</v>
      </c>
      <c r="K389" s="48" t="s">
        <v>37</v>
      </c>
      <c r="L389" s="48" t="s">
        <v>37</v>
      </c>
      <c r="M389" s="38">
        <v>41578</v>
      </c>
      <c r="N389" s="48"/>
      <c r="O389" s="35">
        <v>99000</v>
      </c>
      <c r="P389" s="35"/>
      <c r="Q389" s="35"/>
    </row>
    <row r="390" spans="1:17" s="15" customFormat="1" ht="26.25" customHeight="1" x14ac:dyDescent="0.2">
      <c r="A390" s="43" t="s">
        <v>1145</v>
      </c>
      <c r="B390" s="46" t="s">
        <v>21</v>
      </c>
      <c r="C390" s="44" t="s">
        <v>107</v>
      </c>
      <c r="D390" s="34">
        <v>5476</v>
      </c>
      <c r="E390" s="46" t="s">
        <v>477</v>
      </c>
      <c r="F390" s="35">
        <v>30000</v>
      </c>
      <c r="G390" s="40">
        <v>72000</v>
      </c>
      <c r="H390" s="35">
        <f>27500+34500+30000+30000</f>
        <v>122000</v>
      </c>
      <c r="I390" s="35">
        <f t="shared" si="72"/>
        <v>194000</v>
      </c>
      <c r="J390" s="36">
        <f t="shared" si="73"/>
        <v>1.6944444444444444</v>
      </c>
      <c r="K390" s="48" t="s">
        <v>37</v>
      </c>
      <c r="L390" s="48" t="s">
        <v>37</v>
      </c>
      <c r="M390" s="38">
        <v>41362</v>
      </c>
      <c r="N390" s="48" t="s">
        <v>36</v>
      </c>
      <c r="O390" s="35">
        <v>30000</v>
      </c>
      <c r="P390" s="35"/>
      <c r="Q390" s="35"/>
    </row>
    <row r="391" spans="1:17" s="15" customFormat="1" ht="26.25" customHeight="1" x14ac:dyDescent="0.2">
      <c r="A391" s="43" t="s">
        <v>1146</v>
      </c>
      <c r="B391" s="46" t="s">
        <v>825</v>
      </c>
      <c r="C391" s="44" t="s">
        <v>845</v>
      </c>
      <c r="D391" s="34">
        <v>5573</v>
      </c>
      <c r="E391" s="46" t="s">
        <v>1158</v>
      </c>
      <c r="F391" s="35">
        <f>55000+55000+55000</f>
        <v>165000</v>
      </c>
      <c r="G391" s="40">
        <f>35000</f>
        <v>35000</v>
      </c>
      <c r="H391" s="35">
        <f>55000*3</f>
        <v>165000</v>
      </c>
      <c r="I391" s="35">
        <f t="shared" si="72"/>
        <v>200000</v>
      </c>
      <c r="J391" s="36">
        <f t="shared" si="73"/>
        <v>4.7142857142857144</v>
      </c>
      <c r="K391" s="48" t="s">
        <v>37</v>
      </c>
      <c r="L391" s="48" t="s">
        <v>37</v>
      </c>
      <c r="M391" s="38">
        <v>41455</v>
      </c>
      <c r="N391" s="48" t="s">
        <v>64</v>
      </c>
      <c r="O391" s="35">
        <v>55000</v>
      </c>
      <c r="P391" s="35">
        <v>55000</v>
      </c>
      <c r="Q391" s="35">
        <v>55000</v>
      </c>
    </row>
    <row r="392" spans="1:17" s="15" customFormat="1" ht="26.25" customHeight="1" x14ac:dyDescent="0.2">
      <c r="A392" s="43" t="s">
        <v>1147</v>
      </c>
      <c r="B392" s="46" t="s">
        <v>76</v>
      </c>
      <c r="C392" s="44" t="s">
        <v>1152</v>
      </c>
      <c r="D392" s="34">
        <v>5587</v>
      </c>
      <c r="E392" s="46" t="s">
        <v>1155</v>
      </c>
      <c r="F392" s="35">
        <v>95800</v>
      </c>
      <c r="G392" s="40">
        <v>95800</v>
      </c>
      <c r="H392" s="35">
        <v>0</v>
      </c>
      <c r="I392" s="35">
        <f t="shared" si="72"/>
        <v>95800</v>
      </c>
      <c r="J392" s="36">
        <f t="shared" si="73"/>
        <v>0</v>
      </c>
      <c r="K392" s="48" t="s">
        <v>37</v>
      </c>
      <c r="L392" s="48" t="s">
        <v>37</v>
      </c>
      <c r="M392" s="38">
        <v>41698</v>
      </c>
      <c r="N392" s="48"/>
      <c r="O392" s="35">
        <v>95800</v>
      </c>
      <c r="P392" s="35"/>
      <c r="Q392" s="35"/>
    </row>
    <row r="393" spans="1:17" s="15" customFormat="1" ht="26.25" customHeight="1" x14ac:dyDescent="0.2">
      <c r="A393" s="43" t="s">
        <v>1148</v>
      </c>
      <c r="B393" s="46" t="s">
        <v>39</v>
      </c>
      <c r="C393" s="44" t="s">
        <v>230</v>
      </c>
      <c r="D393" s="34">
        <v>5605</v>
      </c>
      <c r="E393" s="46" t="s">
        <v>1156</v>
      </c>
      <c r="F393" s="35">
        <f>59833*3</f>
        <v>179499</v>
      </c>
      <c r="G393" s="40">
        <f>59833*3</f>
        <v>179499</v>
      </c>
      <c r="H393" s="35">
        <v>0</v>
      </c>
      <c r="I393" s="35">
        <f t="shared" si="72"/>
        <v>179499</v>
      </c>
      <c r="J393" s="36">
        <f t="shared" si="73"/>
        <v>0</v>
      </c>
      <c r="K393" s="48" t="s">
        <v>37</v>
      </c>
      <c r="L393" s="48" t="s">
        <v>37</v>
      </c>
      <c r="M393" s="38">
        <v>41790</v>
      </c>
      <c r="N393" s="48" t="s">
        <v>64</v>
      </c>
      <c r="O393" s="35">
        <v>59833</v>
      </c>
      <c r="P393" s="35">
        <v>59833</v>
      </c>
      <c r="Q393" s="35">
        <v>59833</v>
      </c>
    </row>
    <row r="394" spans="1:17" s="15" customFormat="1" ht="38.25" customHeight="1" x14ac:dyDescent="0.2">
      <c r="A394" s="43" t="s">
        <v>1149</v>
      </c>
      <c r="B394" s="46" t="s">
        <v>1067</v>
      </c>
      <c r="C394" s="44" t="s">
        <v>1153</v>
      </c>
      <c r="D394" s="34">
        <v>5584</v>
      </c>
      <c r="E394" s="46" t="s">
        <v>1157</v>
      </c>
      <c r="F394" s="35">
        <v>60000</v>
      </c>
      <c r="G394" s="40">
        <v>60000</v>
      </c>
      <c r="H394" s="35">
        <v>0</v>
      </c>
      <c r="I394" s="35">
        <f t="shared" si="72"/>
        <v>60000</v>
      </c>
      <c r="J394" s="36">
        <f t="shared" si="73"/>
        <v>0</v>
      </c>
      <c r="K394" s="48" t="s">
        <v>37</v>
      </c>
      <c r="L394" s="48" t="s">
        <v>37</v>
      </c>
      <c r="M394" s="38">
        <v>41455</v>
      </c>
      <c r="N394" s="48"/>
      <c r="O394" s="35">
        <v>60000</v>
      </c>
      <c r="P394" s="35"/>
      <c r="Q394" s="35"/>
    </row>
    <row r="395" spans="1:17" s="15" customFormat="1" ht="26.25" customHeight="1" x14ac:dyDescent="0.2">
      <c r="A395" s="43" t="s">
        <v>1159</v>
      </c>
      <c r="B395" s="46" t="s">
        <v>1128</v>
      </c>
      <c r="C395" s="44" t="s">
        <v>60</v>
      </c>
      <c r="D395" s="47" t="s">
        <v>1165</v>
      </c>
      <c r="E395" s="46" t="s">
        <v>1168</v>
      </c>
      <c r="F395" s="35">
        <v>6000</v>
      </c>
      <c r="G395" s="40">
        <v>10000</v>
      </c>
      <c r="H395" s="35">
        <v>6000</v>
      </c>
      <c r="I395" s="35">
        <f t="shared" si="72"/>
        <v>16000</v>
      </c>
      <c r="J395" s="36">
        <f t="shared" si="73"/>
        <v>0.6</v>
      </c>
      <c r="K395" s="48" t="s">
        <v>37</v>
      </c>
      <c r="L395" s="48" t="s">
        <v>37</v>
      </c>
      <c r="M395" s="38">
        <v>41333</v>
      </c>
      <c r="N395" s="48" t="s">
        <v>36</v>
      </c>
      <c r="O395" s="35">
        <v>6000</v>
      </c>
      <c r="P395" s="35"/>
      <c r="Q395" s="35"/>
    </row>
    <row r="396" spans="1:17" s="15" customFormat="1" ht="26.25" customHeight="1" x14ac:dyDescent="0.2">
      <c r="A396" s="43" t="s">
        <v>1160</v>
      </c>
      <c r="B396" s="46" t="s">
        <v>45</v>
      </c>
      <c r="C396" s="44" t="s">
        <v>119</v>
      </c>
      <c r="D396" s="47" t="s">
        <v>1166</v>
      </c>
      <c r="E396" s="46" t="s">
        <v>1169</v>
      </c>
      <c r="F396" s="35">
        <v>10000</v>
      </c>
      <c r="G396" s="40">
        <v>10500</v>
      </c>
      <c r="H396" s="35">
        <v>10000</v>
      </c>
      <c r="I396" s="35">
        <f t="shared" ref="I396:I402" si="74">G396+H396</f>
        <v>20500</v>
      </c>
      <c r="J396" s="36">
        <f t="shared" ref="J396:J402" si="75">IF(G396=0,100%,(I396-G396)/G396)</f>
        <v>0.95238095238095233</v>
      </c>
      <c r="K396" s="48" t="s">
        <v>37</v>
      </c>
      <c r="L396" s="48" t="s">
        <v>37</v>
      </c>
      <c r="M396" s="38">
        <v>41455</v>
      </c>
      <c r="N396" s="48" t="s">
        <v>36</v>
      </c>
      <c r="O396" s="35">
        <v>10000</v>
      </c>
      <c r="P396" s="35"/>
      <c r="Q396" s="35"/>
    </row>
    <row r="397" spans="1:17" s="15" customFormat="1" ht="26.25" customHeight="1" x14ac:dyDescent="0.2">
      <c r="A397" s="43" t="s">
        <v>1161</v>
      </c>
      <c r="B397" s="46" t="s">
        <v>76</v>
      </c>
      <c r="C397" s="44" t="s">
        <v>1163</v>
      </c>
      <c r="D397" s="34">
        <v>5588</v>
      </c>
      <c r="E397" s="46" t="s">
        <v>1170</v>
      </c>
      <c r="F397" s="35">
        <v>25000</v>
      </c>
      <c r="G397" s="40">
        <v>25000</v>
      </c>
      <c r="H397" s="35">
        <v>0</v>
      </c>
      <c r="I397" s="35">
        <f t="shared" si="74"/>
        <v>25000</v>
      </c>
      <c r="J397" s="36">
        <f t="shared" si="75"/>
        <v>0</v>
      </c>
      <c r="K397" s="48" t="s">
        <v>37</v>
      </c>
      <c r="L397" s="48" t="s">
        <v>37</v>
      </c>
      <c r="M397" s="38">
        <v>41713</v>
      </c>
      <c r="N397" s="48"/>
      <c r="O397" s="35">
        <v>25000</v>
      </c>
      <c r="P397" s="35"/>
      <c r="Q397" s="35"/>
    </row>
    <row r="398" spans="1:17" s="15" customFormat="1" ht="26.25" customHeight="1" x14ac:dyDescent="0.2">
      <c r="A398" s="43" t="s">
        <v>1162</v>
      </c>
      <c r="B398" s="46" t="s">
        <v>1067</v>
      </c>
      <c r="C398" s="44" t="s">
        <v>1164</v>
      </c>
      <c r="D398" s="47" t="s">
        <v>1167</v>
      </c>
      <c r="E398" s="46" t="s">
        <v>1171</v>
      </c>
      <c r="F398" s="35">
        <v>49000</v>
      </c>
      <c r="G398" s="40">
        <v>49000</v>
      </c>
      <c r="H398" s="35">
        <v>0</v>
      </c>
      <c r="I398" s="35">
        <f t="shared" si="74"/>
        <v>49000</v>
      </c>
      <c r="J398" s="36">
        <f t="shared" si="75"/>
        <v>0</v>
      </c>
      <c r="K398" s="48" t="s">
        <v>37</v>
      </c>
      <c r="L398" s="48" t="s">
        <v>37</v>
      </c>
      <c r="M398" s="38">
        <v>41455</v>
      </c>
      <c r="N398" s="48"/>
      <c r="O398" s="35">
        <v>49000</v>
      </c>
      <c r="P398" s="35"/>
      <c r="Q398" s="35"/>
    </row>
    <row r="399" spans="1:17" s="15" customFormat="1" ht="18" customHeight="1" x14ac:dyDescent="0.2">
      <c r="A399" s="43" t="s">
        <v>1174</v>
      </c>
      <c r="B399" s="46" t="s">
        <v>39</v>
      </c>
      <c r="C399" s="44" t="s">
        <v>230</v>
      </c>
      <c r="D399" s="34">
        <v>5689</v>
      </c>
      <c r="E399" s="46" t="s">
        <v>1172</v>
      </c>
      <c r="F399" s="35">
        <f>8402+8654+8914</f>
        <v>25970</v>
      </c>
      <c r="G399" s="40">
        <f>8402+8654+8914</f>
        <v>25970</v>
      </c>
      <c r="H399" s="35">
        <v>0</v>
      </c>
      <c r="I399" s="35">
        <f t="shared" si="74"/>
        <v>25970</v>
      </c>
      <c r="J399" s="36">
        <f t="shared" si="75"/>
        <v>0</v>
      </c>
      <c r="K399" s="48" t="s">
        <v>37</v>
      </c>
      <c r="L399" s="48" t="s">
        <v>37</v>
      </c>
      <c r="M399" s="38">
        <v>41784</v>
      </c>
      <c r="N399" s="48" t="s">
        <v>64</v>
      </c>
      <c r="O399" s="35">
        <v>8402</v>
      </c>
      <c r="P399" s="35">
        <v>8654</v>
      </c>
      <c r="Q399" s="35">
        <v>8914</v>
      </c>
    </row>
    <row r="400" spans="1:17" s="15" customFormat="1" ht="26.25" customHeight="1" x14ac:dyDescent="0.2">
      <c r="A400" s="43" t="s">
        <v>1175</v>
      </c>
      <c r="B400" s="46" t="s">
        <v>1176</v>
      </c>
      <c r="C400" s="44" t="s">
        <v>1177</v>
      </c>
      <c r="D400" s="34">
        <v>5629</v>
      </c>
      <c r="E400" s="46" t="s">
        <v>1173</v>
      </c>
      <c r="F400" s="35">
        <v>5460</v>
      </c>
      <c r="G400" s="40">
        <v>5460</v>
      </c>
      <c r="H400" s="35">
        <v>0</v>
      </c>
      <c r="I400" s="35">
        <f t="shared" si="74"/>
        <v>5460</v>
      </c>
      <c r="J400" s="36">
        <f t="shared" si="75"/>
        <v>0</v>
      </c>
      <c r="K400" s="48" t="s">
        <v>37</v>
      </c>
      <c r="L400" s="48" t="s">
        <v>37</v>
      </c>
      <c r="M400" s="38">
        <v>41364</v>
      </c>
      <c r="N400" s="48"/>
      <c r="O400" s="35">
        <v>5460</v>
      </c>
      <c r="P400" s="35"/>
      <c r="Q400" s="35"/>
    </row>
    <row r="401" spans="1:17" s="15" customFormat="1" ht="26.25" customHeight="1" x14ac:dyDescent="0.2">
      <c r="A401" s="43" t="s">
        <v>1178</v>
      </c>
      <c r="B401" s="46" t="s">
        <v>1180</v>
      </c>
      <c r="C401" s="44" t="s">
        <v>1181</v>
      </c>
      <c r="D401" s="47" t="s">
        <v>41</v>
      </c>
      <c r="E401" s="46" t="s">
        <v>1183</v>
      </c>
      <c r="F401" s="35">
        <v>95103</v>
      </c>
      <c r="G401" s="40">
        <v>95103</v>
      </c>
      <c r="H401" s="35">
        <v>0</v>
      </c>
      <c r="I401" s="35">
        <f t="shared" si="74"/>
        <v>95103</v>
      </c>
      <c r="J401" s="36">
        <f t="shared" si="75"/>
        <v>0</v>
      </c>
      <c r="K401" s="48" t="s">
        <v>37</v>
      </c>
      <c r="L401" s="48" t="s">
        <v>37</v>
      </c>
      <c r="M401" s="38">
        <v>41455</v>
      </c>
      <c r="N401" s="48"/>
      <c r="O401" s="35">
        <v>95103</v>
      </c>
      <c r="P401" s="35"/>
      <c r="Q401" s="35"/>
    </row>
    <row r="402" spans="1:17" s="15" customFormat="1" ht="38.25" customHeight="1" x14ac:dyDescent="0.2">
      <c r="A402" s="43" t="s">
        <v>1179</v>
      </c>
      <c r="B402" s="46" t="s">
        <v>39</v>
      </c>
      <c r="C402" s="44" t="s">
        <v>618</v>
      </c>
      <c r="D402" s="47" t="s">
        <v>1182</v>
      </c>
      <c r="E402" s="46" t="s">
        <v>1184</v>
      </c>
      <c r="F402" s="35">
        <v>49000</v>
      </c>
      <c r="G402" s="40">
        <v>50000</v>
      </c>
      <c r="H402" s="35">
        <v>49000</v>
      </c>
      <c r="I402" s="35">
        <f t="shared" si="74"/>
        <v>99000</v>
      </c>
      <c r="J402" s="36">
        <f t="shared" si="75"/>
        <v>0.98</v>
      </c>
      <c r="K402" s="48" t="s">
        <v>37</v>
      </c>
      <c r="L402" s="48" t="s">
        <v>37</v>
      </c>
      <c r="M402" s="38">
        <v>41455</v>
      </c>
      <c r="N402" s="48" t="s">
        <v>36</v>
      </c>
      <c r="O402" s="35">
        <v>49000</v>
      </c>
      <c r="P402" s="35"/>
      <c r="Q402" s="35"/>
    </row>
    <row r="403" spans="1:17" s="15" customFormat="1" ht="26.25" customHeight="1" x14ac:dyDescent="0.2">
      <c r="A403" s="43" t="s">
        <v>1185</v>
      </c>
      <c r="B403" s="46" t="s">
        <v>21</v>
      </c>
      <c r="C403" s="44" t="s">
        <v>214</v>
      </c>
      <c r="D403" s="47" t="s">
        <v>1198</v>
      </c>
      <c r="E403" s="46" t="s">
        <v>1200</v>
      </c>
      <c r="F403" s="35">
        <v>9000</v>
      </c>
      <c r="G403" s="40">
        <v>10000</v>
      </c>
      <c r="H403" s="35">
        <f>12000+36000+9000</f>
        <v>57000</v>
      </c>
      <c r="I403" s="35">
        <f t="shared" ref="I403:I410" si="76">G403+H403</f>
        <v>67000</v>
      </c>
      <c r="J403" s="36">
        <f t="shared" ref="J403:J410" si="77">IF(G403=0,100%,(I403-G403)/G403)</f>
        <v>5.7</v>
      </c>
      <c r="K403" s="48" t="s">
        <v>37</v>
      </c>
      <c r="L403" s="48" t="s">
        <v>37</v>
      </c>
      <c r="M403" s="38">
        <v>41455</v>
      </c>
      <c r="N403" s="48" t="s">
        <v>36</v>
      </c>
      <c r="O403" s="35">
        <v>9000</v>
      </c>
      <c r="P403" s="35"/>
      <c r="Q403" s="35"/>
    </row>
    <row r="404" spans="1:17" s="15" customFormat="1" ht="26.25" customHeight="1" x14ac:dyDescent="0.2">
      <c r="A404" s="43" t="s">
        <v>1186</v>
      </c>
      <c r="B404" s="46" t="s">
        <v>18</v>
      </c>
      <c r="C404" s="44" t="s">
        <v>1193</v>
      </c>
      <c r="D404" s="47" t="s">
        <v>1199</v>
      </c>
      <c r="E404" s="46" t="s">
        <v>1201</v>
      </c>
      <c r="F404" s="35">
        <v>30000</v>
      </c>
      <c r="G404" s="40">
        <v>10000</v>
      </c>
      <c r="H404" s="35">
        <f>143000+30000</f>
        <v>173000</v>
      </c>
      <c r="I404" s="35">
        <f t="shared" si="76"/>
        <v>183000</v>
      </c>
      <c r="J404" s="36">
        <f t="shared" si="77"/>
        <v>17.3</v>
      </c>
      <c r="K404" s="48" t="s">
        <v>37</v>
      </c>
      <c r="L404" s="48" t="s">
        <v>37</v>
      </c>
      <c r="M404" s="52" t="s">
        <v>69</v>
      </c>
      <c r="N404" s="48" t="s">
        <v>36</v>
      </c>
      <c r="O404" s="35">
        <v>30000</v>
      </c>
      <c r="P404" s="35"/>
      <c r="Q404" s="35"/>
    </row>
    <row r="405" spans="1:17" s="15" customFormat="1" ht="26.25" customHeight="1" x14ac:dyDescent="0.2">
      <c r="A405" s="43" t="s">
        <v>1187</v>
      </c>
      <c r="B405" s="46" t="s">
        <v>40</v>
      </c>
      <c r="C405" s="44" t="s">
        <v>975</v>
      </c>
      <c r="D405" s="34">
        <v>5622</v>
      </c>
      <c r="E405" s="46" t="s">
        <v>1202</v>
      </c>
      <c r="F405" s="35">
        <v>18750</v>
      </c>
      <c r="G405" s="40">
        <v>18750</v>
      </c>
      <c r="H405" s="35">
        <v>0</v>
      </c>
      <c r="I405" s="35">
        <f t="shared" si="76"/>
        <v>18750</v>
      </c>
      <c r="J405" s="36">
        <f t="shared" si="77"/>
        <v>0</v>
      </c>
      <c r="K405" s="48" t="s">
        <v>37</v>
      </c>
      <c r="L405" s="48" t="s">
        <v>37</v>
      </c>
      <c r="M405" s="38">
        <v>41455</v>
      </c>
      <c r="N405" s="48"/>
      <c r="O405" s="35">
        <v>18750</v>
      </c>
      <c r="P405" s="35"/>
      <c r="Q405" s="35"/>
    </row>
    <row r="406" spans="1:17" s="15" customFormat="1" ht="26.25" customHeight="1" x14ac:dyDescent="0.2">
      <c r="A406" s="43" t="s">
        <v>1188</v>
      </c>
      <c r="B406" s="46" t="s">
        <v>76</v>
      </c>
      <c r="C406" s="44" t="s">
        <v>98</v>
      </c>
      <c r="D406" s="34">
        <v>5714</v>
      </c>
      <c r="E406" s="46" t="s">
        <v>1203</v>
      </c>
      <c r="F406" s="35">
        <v>49500</v>
      </c>
      <c r="G406" s="40">
        <v>49500</v>
      </c>
      <c r="H406" s="35">
        <v>0</v>
      </c>
      <c r="I406" s="35">
        <f t="shared" si="76"/>
        <v>49500</v>
      </c>
      <c r="J406" s="36">
        <f t="shared" si="77"/>
        <v>0</v>
      </c>
      <c r="K406" s="48" t="s">
        <v>37</v>
      </c>
      <c r="L406" s="48" t="s">
        <v>37</v>
      </c>
      <c r="M406" s="38">
        <v>41698</v>
      </c>
      <c r="N406" s="48"/>
      <c r="O406" s="35">
        <v>49500</v>
      </c>
      <c r="P406" s="35"/>
      <c r="Q406" s="35"/>
    </row>
    <row r="407" spans="1:17" s="15" customFormat="1" ht="26.25" customHeight="1" x14ac:dyDescent="0.2">
      <c r="A407" s="43" t="s">
        <v>1189</v>
      </c>
      <c r="B407" s="46" t="s">
        <v>47</v>
      </c>
      <c r="C407" s="44" t="s">
        <v>1194</v>
      </c>
      <c r="D407" s="34">
        <v>5724</v>
      </c>
      <c r="E407" s="46" t="s">
        <v>1204</v>
      </c>
      <c r="F407" s="35">
        <f>45000*3</f>
        <v>135000</v>
      </c>
      <c r="G407" s="40">
        <f>45000*3</f>
        <v>135000</v>
      </c>
      <c r="H407" s="35">
        <v>0</v>
      </c>
      <c r="I407" s="35">
        <f t="shared" si="76"/>
        <v>135000</v>
      </c>
      <c r="J407" s="36">
        <f t="shared" si="77"/>
        <v>0</v>
      </c>
      <c r="K407" s="48" t="s">
        <v>37</v>
      </c>
      <c r="L407" s="48" t="s">
        <v>37</v>
      </c>
      <c r="M407" s="38">
        <v>41453</v>
      </c>
      <c r="N407" s="48" t="s">
        <v>64</v>
      </c>
      <c r="O407" s="35">
        <v>45000</v>
      </c>
      <c r="P407" s="35">
        <v>45000</v>
      </c>
      <c r="Q407" s="35">
        <v>45000</v>
      </c>
    </row>
    <row r="408" spans="1:17" s="15" customFormat="1" ht="26.25" customHeight="1" x14ac:dyDescent="0.2">
      <c r="A408" s="43" t="s">
        <v>1190</v>
      </c>
      <c r="B408" s="46" t="s">
        <v>40</v>
      </c>
      <c r="C408" s="44" t="s">
        <v>1195</v>
      </c>
      <c r="D408" s="34">
        <v>5736</v>
      </c>
      <c r="E408" s="46" t="s">
        <v>1205</v>
      </c>
      <c r="F408" s="35">
        <v>17876</v>
      </c>
      <c r="G408" s="40">
        <v>17876</v>
      </c>
      <c r="H408" s="35">
        <v>0</v>
      </c>
      <c r="I408" s="35">
        <f t="shared" si="76"/>
        <v>17876</v>
      </c>
      <c r="J408" s="36">
        <f t="shared" si="77"/>
        <v>0</v>
      </c>
      <c r="K408" s="48" t="s">
        <v>37</v>
      </c>
      <c r="L408" s="48" t="s">
        <v>42</v>
      </c>
      <c r="M408" s="38">
        <v>41820</v>
      </c>
      <c r="N408" s="48"/>
      <c r="O408" s="35">
        <v>17876</v>
      </c>
      <c r="P408" s="35"/>
      <c r="Q408" s="35"/>
    </row>
    <row r="409" spans="1:17" s="15" customFormat="1" ht="26.25" customHeight="1" x14ac:dyDescent="0.2">
      <c r="A409" s="43" t="s">
        <v>1191</v>
      </c>
      <c r="B409" s="46" t="s">
        <v>46</v>
      </c>
      <c r="C409" s="44" t="s">
        <v>1196</v>
      </c>
      <c r="D409" s="34">
        <v>5746</v>
      </c>
      <c r="E409" s="46" t="s">
        <v>1206</v>
      </c>
      <c r="F409" s="35">
        <v>9196</v>
      </c>
      <c r="G409" s="40">
        <v>9196</v>
      </c>
      <c r="H409" s="35">
        <v>0</v>
      </c>
      <c r="I409" s="35">
        <f t="shared" si="76"/>
        <v>9196</v>
      </c>
      <c r="J409" s="36">
        <f t="shared" si="77"/>
        <v>0</v>
      </c>
      <c r="K409" s="48" t="s">
        <v>37</v>
      </c>
      <c r="L409" s="48" t="s">
        <v>42</v>
      </c>
      <c r="M409" s="38">
        <v>41455</v>
      </c>
      <c r="N409" s="48"/>
      <c r="O409" s="35">
        <v>9196</v>
      </c>
      <c r="P409" s="35"/>
      <c r="Q409" s="35"/>
    </row>
    <row r="410" spans="1:17" s="15" customFormat="1" ht="26.25" customHeight="1" x14ac:dyDescent="0.2">
      <c r="A410" s="43" t="s">
        <v>1192</v>
      </c>
      <c r="B410" s="46" t="s">
        <v>20</v>
      </c>
      <c r="C410" s="44" t="s">
        <v>1197</v>
      </c>
      <c r="D410" s="34">
        <v>3836</v>
      </c>
      <c r="E410" s="46" t="s">
        <v>1230</v>
      </c>
      <c r="F410" s="35">
        <f>15000*3</f>
        <v>45000</v>
      </c>
      <c r="G410" s="40">
        <f>15000*3</f>
        <v>45000</v>
      </c>
      <c r="H410" s="35">
        <v>0</v>
      </c>
      <c r="I410" s="35">
        <f t="shared" si="76"/>
        <v>45000</v>
      </c>
      <c r="J410" s="36">
        <f t="shared" si="77"/>
        <v>0</v>
      </c>
      <c r="K410" s="48" t="s">
        <v>37</v>
      </c>
      <c r="L410" s="48" t="s">
        <v>37</v>
      </c>
      <c r="M410" s="38">
        <v>41698</v>
      </c>
      <c r="N410" s="48" t="s">
        <v>64</v>
      </c>
      <c r="O410" s="35">
        <v>15000</v>
      </c>
      <c r="P410" s="35">
        <v>15000</v>
      </c>
      <c r="Q410" s="35">
        <v>15000</v>
      </c>
    </row>
    <row r="411" spans="1:17" s="15" customFormat="1" ht="26.25" customHeight="1" x14ac:dyDescent="0.2">
      <c r="A411" s="43" t="s">
        <v>1207</v>
      </c>
      <c r="B411" s="46" t="s">
        <v>18</v>
      </c>
      <c r="C411" s="44" t="s">
        <v>713</v>
      </c>
      <c r="D411" s="47" t="s">
        <v>1215</v>
      </c>
      <c r="E411" s="46" t="s">
        <v>705</v>
      </c>
      <c r="F411" s="35">
        <v>17500</v>
      </c>
      <c r="G411" s="40">
        <v>5000</v>
      </c>
      <c r="H411" s="35">
        <f>15000+10000+17500</f>
        <v>42500</v>
      </c>
      <c r="I411" s="35">
        <f t="shared" ref="I411:I416" si="78">G411+H411</f>
        <v>47500</v>
      </c>
      <c r="J411" s="36">
        <f t="shared" ref="J411:J416" si="79">IF(G411=0,100%,(I411-G411)/G411)</f>
        <v>8.5</v>
      </c>
      <c r="K411" s="48" t="s">
        <v>37</v>
      </c>
      <c r="L411" s="48" t="s">
        <v>37</v>
      </c>
      <c r="M411" s="52" t="s">
        <v>69</v>
      </c>
      <c r="N411" s="48" t="s">
        <v>36</v>
      </c>
      <c r="O411" s="35">
        <v>17500</v>
      </c>
      <c r="P411" s="35"/>
      <c r="Q411" s="35"/>
    </row>
    <row r="412" spans="1:17" s="15" customFormat="1" ht="26.25" customHeight="1" x14ac:dyDescent="0.2">
      <c r="A412" s="43" t="s">
        <v>1208</v>
      </c>
      <c r="B412" s="46" t="s">
        <v>48</v>
      </c>
      <c r="C412" s="44" t="s">
        <v>1212</v>
      </c>
      <c r="D412" s="34">
        <v>5759</v>
      </c>
      <c r="E412" s="46" t="s">
        <v>1216</v>
      </c>
      <c r="F412" s="35">
        <v>10025</v>
      </c>
      <c r="G412" s="40">
        <v>10025</v>
      </c>
      <c r="H412" s="35">
        <v>0</v>
      </c>
      <c r="I412" s="35">
        <f t="shared" si="78"/>
        <v>10025</v>
      </c>
      <c r="J412" s="36">
        <f t="shared" si="79"/>
        <v>0</v>
      </c>
      <c r="K412" s="48" t="s">
        <v>37</v>
      </c>
      <c r="L412" s="48" t="s">
        <v>37</v>
      </c>
      <c r="M412" s="38">
        <v>41385</v>
      </c>
      <c r="N412" s="48"/>
      <c r="O412" s="35">
        <v>10025</v>
      </c>
      <c r="P412" s="35"/>
      <c r="Q412" s="35"/>
    </row>
    <row r="413" spans="1:17" s="15" customFormat="1" ht="26.25" customHeight="1" x14ac:dyDescent="0.2">
      <c r="A413" s="43" t="s">
        <v>1209</v>
      </c>
      <c r="B413" s="46" t="s">
        <v>48</v>
      </c>
      <c r="C413" s="44" t="s">
        <v>1213</v>
      </c>
      <c r="D413" s="34">
        <v>5762</v>
      </c>
      <c r="E413" s="46" t="s">
        <v>1217</v>
      </c>
      <c r="F413" s="35">
        <v>10500</v>
      </c>
      <c r="G413" s="40">
        <v>10500</v>
      </c>
      <c r="H413" s="35">
        <v>0</v>
      </c>
      <c r="I413" s="35">
        <f t="shared" si="78"/>
        <v>10500</v>
      </c>
      <c r="J413" s="36">
        <f t="shared" si="79"/>
        <v>0</v>
      </c>
      <c r="K413" s="48" t="s">
        <v>37</v>
      </c>
      <c r="L413" s="48" t="s">
        <v>37</v>
      </c>
      <c r="M413" s="38">
        <v>41385</v>
      </c>
      <c r="N413" s="48"/>
      <c r="O413" s="35">
        <v>10500</v>
      </c>
      <c r="P413" s="35"/>
      <c r="Q413" s="35"/>
    </row>
    <row r="414" spans="1:17" s="15" customFormat="1" ht="18" customHeight="1" x14ac:dyDescent="0.2">
      <c r="A414" s="43" t="s">
        <v>1210</v>
      </c>
      <c r="B414" s="46" t="s">
        <v>40</v>
      </c>
      <c r="C414" s="44" t="s">
        <v>559</v>
      </c>
      <c r="D414" s="34">
        <v>3545</v>
      </c>
      <c r="E414" s="46" t="s">
        <v>1218</v>
      </c>
      <c r="F414" s="35">
        <f>9600*3</f>
        <v>28800</v>
      </c>
      <c r="G414" s="40">
        <f>9600*3</f>
        <v>28800</v>
      </c>
      <c r="H414" s="35">
        <v>0</v>
      </c>
      <c r="I414" s="35">
        <f t="shared" si="78"/>
        <v>28800</v>
      </c>
      <c r="J414" s="36">
        <f t="shared" si="79"/>
        <v>0</v>
      </c>
      <c r="K414" s="48" t="s">
        <v>37</v>
      </c>
      <c r="L414" s="48" t="s">
        <v>42</v>
      </c>
      <c r="M414" s="38">
        <v>41759</v>
      </c>
      <c r="N414" s="48" t="s">
        <v>64</v>
      </c>
      <c r="O414" s="35">
        <v>9600</v>
      </c>
      <c r="P414" s="35">
        <v>9600</v>
      </c>
      <c r="Q414" s="35">
        <v>9600</v>
      </c>
    </row>
    <row r="415" spans="1:17" s="15" customFormat="1" ht="18" customHeight="1" x14ac:dyDescent="0.2">
      <c r="A415" s="43" t="s">
        <v>1211</v>
      </c>
      <c r="B415" s="46" t="s">
        <v>40</v>
      </c>
      <c r="C415" s="44" t="s">
        <v>1214</v>
      </c>
      <c r="D415" s="34">
        <v>3554</v>
      </c>
      <c r="E415" s="46" t="s">
        <v>1219</v>
      </c>
      <c r="F415" s="35">
        <f>36000*3</f>
        <v>108000</v>
      </c>
      <c r="G415" s="40">
        <f>36000*3</f>
        <v>108000</v>
      </c>
      <c r="H415" s="35">
        <v>0</v>
      </c>
      <c r="I415" s="35">
        <f t="shared" si="78"/>
        <v>108000</v>
      </c>
      <c r="J415" s="36">
        <f t="shared" si="79"/>
        <v>0</v>
      </c>
      <c r="K415" s="48" t="s">
        <v>37</v>
      </c>
      <c r="L415" s="48" t="s">
        <v>42</v>
      </c>
      <c r="M415" s="38">
        <v>41820</v>
      </c>
      <c r="N415" s="48" t="s">
        <v>64</v>
      </c>
      <c r="O415" s="35">
        <v>36000</v>
      </c>
      <c r="P415" s="35">
        <v>36000</v>
      </c>
      <c r="Q415" s="35">
        <v>36000</v>
      </c>
    </row>
    <row r="416" spans="1:17" s="15" customFormat="1" ht="38.25" customHeight="1" x14ac:dyDescent="0.2">
      <c r="A416" s="43" t="s">
        <v>1220</v>
      </c>
      <c r="B416" s="46" t="s">
        <v>20</v>
      </c>
      <c r="C416" s="44" t="s">
        <v>1224</v>
      </c>
      <c r="D416" s="34">
        <v>5765</v>
      </c>
      <c r="E416" s="46" t="s">
        <v>1228</v>
      </c>
      <c r="F416" s="35">
        <f>97552*3</f>
        <v>292656</v>
      </c>
      <c r="G416" s="40">
        <f>97552*3</f>
        <v>292656</v>
      </c>
      <c r="H416" s="35">
        <v>0</v>
      </c>
      <c r="I416" s="35">
        <f t="shared" si="78"/>
        <v>292656</v>
      </c>
      <c r="J416" s="36">
        <f t="shared" si="79"/>
        <v>0</v>
      </c>
      <c r="K416" s="48" t="s">
        <v>37</v>
      </c>
      <c r="L416" s="48" t="s">
        <v>42</v>
      </c>
      <c r="M416" s="38">
        <v>41743</v>
      </c>
      <c r="N416" s="48" t="s">
        <v>64</v>
      </c>
      <c r="O416" s="35">
        <v>97552</v>
      </c>
      <c r="P416" s="35">
        <v>97552</v>
      </c>
      <c r="Q416" s="35">
        <v>97552</v>
      </c>
    </row>
    <row r="417" spans="1:17" s="15" customFormat="1" ht="26.25" customHeight="1" x14ac:dyDescent="0.2">
      <c r="A417" s="43" t="s">
        <v>1221</v>
      </c>
      <c r="B417" s="46" t="s">
        <v>48</v>
      </c>
      <c r="C417" s="44" t="s">
        <v>460</v>
      </c>
      <c r="D417" s="34">
        <v>5771</v>
      </c>
      <c r="E417" s="46" t="s">
        <v>1227</v>
      </c>
      <c r="F417" s="35">
        <v>30116</v>
      </c>
      <c r="G417" s="40">
        <v>24000</v>
      </c>
      <c r="H417" s="35">
        <v>30116</v>
      </c>
      <c r="I417" s="35">
        <f>G417+H417</f>
        <v>54116</v>
      </c>
      <c r="J417" s="36">
        <f>IF(G417=0,100%,(I417-G417)/G417)</f>
        <v>1.2548333333333332</v>
      </c>
      <c r="K417" s="48" t="s">
        <v>37</v>
      </c>
      <c r="L417" s="48" t="s">
        <v>37</v>
      </c>
      <c r="M417" s="38">
        <v>41394</v>
      </c>
      <c r="N417" s="48" t="s">
        <v>36</v>
      </c>
      <c r="O417" s="35">
        <v>30116</v>
      </c>
      <c r="P417" s="35"/>
      <c r="Q417" s="35"/>
    </row>
    <row r="418" spans="1:17" s="15" customFormat="1" ht="26.25" customHeight="1" x14ac:dyDescent="0.2">
      <c r="A418" s="43" t="s">
        <v>1222</v>
      </c>
      <c r="B418" s="46" t="s">
        <v>1223</v>
      </c>
      <c r="C418" s="44" t="s">
        <v>1225</v>
      </c>
      <c r="D418" s="47" t="s">
        <v>41</v>
      </c>
      <c r="E418" s="46" t="s">
        <v>1226</v>
      </c>
      <c r="F418" s="35">
        <v>91241</v>
      </c>
      <c r="G418" s="40">
        <v>91241</v>
      </c>
      <c r="H418" s="35">
        <v>0</v>
      </c>
      <c r="I418" s="35">
        <f>G418+H418</f>
        <v>91241</v>
      </c>
      <c r="J418" s="36">
        <f>IF(G418=0,100%,(I418-G418)/G418)</f>
        <v>0</v>
      </c>
      <c r="K418" s="48" t="s">
        <v>42</v>
      </c>
      <c r="L418" s="48" t="s">
        <v>42</v>
      </c>
      <c r="M418" s="38">
        <v>42551</v>
      </c>
      <c r="N418" s="48"/>
      <c r="O418" s="35">
        <v>91241</v>
      </c>
      <c r="P418" s="35"/>
      <c r="Q418" s="35"/>
    </row>
    <row r="419" spans="1:17" s="15" customFormat="1" ht="26.25" customHeight="1" x14ac:dyDescent="0.2">
      <c r="A419" s="43" t="s">
        <v>1246</v>
      </c>
      <c r="B419" s="46" t="s">
        <v>20</v>
      </c>
      <c r="C419" s="44" t="s">
        <v>122</v>
      </c>
      <c r="D419" s="47">
        <v>3795</v>
      </c>
      <c r="E419" s="46" t="s">
        <v>1237</v>
      </c>
      <c r="F419" s="35">
        <f>37500*3</f>
        <v>112500</v>
      </c>
      <c r="G419" s="40">
        <f>37500*3</f>
        <v>112500</v>
      </c>
      <c r="H419" s="35">
        <v>0</v>
      </c>
      <c r="I419" s="35">
        <f t="shared" ref="I419:I428" si="80">G419+H419</f>
        <v>112500</v>
      </c>
      <c r="J419" s="36">
        <f t="shared" ref="J419:J428" si="81">IF(G419=0,100%,(I419-G419)/G419)</f>
        <v>0</v>
      </c>
      <c r="K419" s="48" t="s">
        <v>37</v>
      </c>
      <c r="L419" s="48" t="s">
        <v>37</v>
      </c>
      <c r="M419" s="38">
        <v>41455</v>
      </c>
      <c r="N419" s="48" t="s">
        <v>64</v>
      </c>
      <c r="O419" s="35">
        <v>37500</v>
      </c>
      <c r="P419" s="35">
        <v>37500</v>
      </c>
      <c r="Q419" s="35">
        <v>37500</v>
      </c>
    </row>
    <row r="420" spans="1:17" s="15" customFormat="1" ht="26.25" customHeight="1" x14ac:dyDescent="0.2">
      <c r="A420" s="43" t="s">
        <v>1247</v>
      </c>
      <c r="B420" s="46" t="s">
        <v>39</v>
      </c>
      <c r="C420" s="44" t="s">
        <v>230</v>
      </c>
      <c r="D420" s="47">
        <v>5691</v>
      </c>
      <c r="E420" s="46" t="s">
        <v>1238</v>
      </c>
      <c r="F420" s="35">
        <v>28050</v>
      </c>
      <c r="G420" s="40">
        <v>28050</v>
      </c>
      <c r="H420" s="35">
        <v>0</v>
      </c>
      <c r="I420" s="35">
        <f t="shared" si="80"/>
        <v>28050</v>
      </c>
      <c r="J420" s="36">
        <f t="shared" si="81"/>
        <v>0</v>
      </c>
      <c r="K420" s="48" t="s">
        <v>37</v>
      </c>
      <c r="L420" s="48" t="s">
        <v>37</v>
      </c>
      <c r="M420" s="38">
        <v>41804</v>
      </c>
      <c r="N420" s="48"/>
      <c r="O420" s="35">
        <v>28050</v>
      </c>
      <c r="P420" s="35"/>
      <c r="Q420" s="35"/>
    </row>
    <row r="421" spans="1:17" s="15" customFormat="1" ht="26.25" customHeight="1" x14ac:dyDescent="0.2">
      <c r="A421" s="43" t="s">
        <v>1248</v>
      </c>
      <c r="B421" s="46" t="s">
        <v>47</v>
      </c>
      <c r="C421" s="44" t="s">
        <v>791</v>
      </c>
      <c r="D421" s="47">
        <v>5769</v>
      </c>
      <c r="E421" s="46" t="s">
        <v>1239</v>
      </c>
      <c r="F421" s="35">
        <v>23000</v>
      </c>
      <c r="G421" s="40">
        <v>23000</v>
      </c>
      <c r="H421" s="35">
        <v>0</v>
      </c>
      <c r="I421" s="35">
        <f t="shared" si="80"/>
        <v>23000</v>
      </c>
      <c r="J421" s="36">
        <f t="shared" si="81"/>
        <v>0</v>
      </c>
      <c r="K421" s="48" t="s">
        <v>37</v>
      </c>
      <c r="L421" s="48" t="s">
        <v>37</v>
      </c>
      <c r="M421" s="38">
        <v>41362</v>
      </c>
      <c r="N421" s="48"/>
      <c r="O421" s="35">
        <v>23000</v>
      </c>
      <c r="P421" s="35"/>
      <c r="Q421" s="35"/>
    </row>
    <row r="422" spans="1:17" s="15" customFormat="1" ht="26.25" customHeight="1" x14ac:dyDescent="0.2">
      <c r="A422" s="43" t="s">
        <v>1249</v>
      </c>
      <c r="B422" s="46" t="s">
        <v>48</v>
      </c>
      <c r="C422" s="44" t="s">
        <v>1010</v>
      </c>
      <c r="D422" s="47">
        <v>5807</v>
      </c>
      <c r="E422" s="46" t="s">
        <v>1240</v>
      </c>
      <c r="F422" s="35">
        <v>9500</v>
      </c>
      <c r="G422" s="40">
        <v>9500</v>
      </c>
      <c r="H422" s="35">
        <v>0</v>
      </c>
      <c r="I422" s="35">
        <f t="shared" si="80"/>
        <v>9500</v>
      </c>
      <c r="J422" s="36">
        <f t="shared" si="81"/>
        <v>0</v>
      </c>
      <c r="K422" s="48" t="s">
        <v>37</v>
      </c>
      <c r="L422" s="48" t="s">
        <v>37</v>
      </c>
      <c r="M422" s="38">
        <v>41384</v>
      </c>
      <c r="N422" s="48"/>
      <c r="O422" s="35">
        <v>9500</v>
      </c>
      <c r="P422" s="35"/>
      <c r="Q422" s="35"/>
    </row>
    <row r="423" spans="1:17" s="15" customFormat="1" ht="26.25" customHeight="1" x14ac:dyDescent="0.2">
      <c r="A423" s="43" t="s">
        <v>1250</v>
      </c>
      <c r="B423" s="46" t="s">
        <v>48</v>
      </c>
      <c r="C423" s="44" t="s">
        <v>644</v>
      </c>
      <c r="D423" s="47">
        <v>5810</v>
      </c>
      <c r="E423" s="46" t="s">
        <v>1241</v>
      </c>
      <c r="F423" s="35">
        <v>35000</v>
      </c>
      <c r="G423" s="40">
        <v>35000</v>
      </c>
      <c r="H423" s="35">
        <v>0</v>
      </c>
      <c r="I423" s="35">
        <f t="shared" si="80"/>
        <v>35000</v>
      </c>
      <c r="J423" s="36">
        <f t="shared" si="81"/>
        <v>0</v>
      </c>
      <c r="K423" s="48" t="s">
        <v>37</v>
      </c>
      <c r="L423" s="48" t="s">
        <v>37</v>
      </c>
      <c r="M423" s="38">
        <v>41399</v>
      </c>
      <c r="N423" s="48"/>
      <c r="O423" s="35">
        <v>35000</v>
      </c>
      <c r="P423" s="35"/>
      <c r="Q423" s="35"/>
    </row>
    <row r="424" spans="1:17" s="15" customFormat="1" ht="26.25" customHeight="1" x14ac:dyDescent="0.2">
      <c r="A424" s="43" t="s">
        <v>1251</v>
      </c>
      <c r="B424" s="46" t="s">
        <v>48</v>
      </c>
      <c r="C424" s="44" t="s">
        <v>1231</v>
      </c>
      <c r="D424" s="47">
        <v>5812</v>
      </c>
      <c r="E424" s="46" t="s">
        <v>1241</v>
      </c>
      <c r="F424" s="35">
        <v>15232</v>
      </c>
      <c r="G424" s="40">
        <v>15232</v>
      </c>
      <c r="H424" s="35">
        <v>0</v>
      </c>
      <c r="I424" s="35">
        <f t="shared" si="80"/>
        <v>15232</v>
      </c>
      <c r="J424" s="36">
        <f t="shared" si="81"/>
        <v>0</v>
      </c>
      <c r="K424" s="48" t="s">
        <v>37</v>
      </c>
      <c r="L424" s="48" t="s">
        <v>37</v>
      </c>
      <c r="M424" s="38">
        <v>41399</v>
      </c>
      <c r="N424" s="48"/>
      <c r="O424" s="35">
        <v>15232</v>
      </c>
      <c r="P424" s="35"/>
      <c r="Q424" s="35"/>
    </row>
    <row r="425" spans="1:17" s="15" customFormat="1" ht="38.25" customHeight="1" x14ac:dyDescent="0.2">
      <c r="A425" s="43" t="s">
        <v>1252</v>
      </c>
      <c r="B425" s="46" t="s">
        <v>48</v>
      </c>
      <c r="C425" s="44" t="s">
        <v>1232</v>
      </c>
      <c r="D425" s="47">
        <v>5814</v>
      </c>
      <c r="E425" s="46" t="s">
        <v>1242</v>
      </c>
      <c r="F425" s="35">
        <f>48750*3</f>
        <v>146250</v>
      </c>
      <c r="G425" s="40">
        <f>48750*3</f>
        <v>146250</v>
      </c>
      <c r="H425" s="35">
        <v>0</v>
      </c>
      <c r="I425" s="35">
        <f t="shared" si="80"/>
        <v>146250</v>
      </c>
      <c r="J425" s="36">
        <f t="shared" si="81"/>
        <v>0</v>
      </c>
      <c r="K425" s="48" t="s">
        <v>37</v>
      </c>
      <c r="L425" s="48" t="s">
        <v>42</v>
      </c>
      <c r="M425" s="38">
        <v>41455</v>
      </c>
      <c r="N425" s="48" t="s">
        <v>64</v>
      </c>
      <c r="O425" s="35">
        <v>48750</v>
      </c>
      <c r="P425" s="35">
        <v>48750</v>
      </c>
      <c r="Q425" s="35">
        <v>48750</v>
      </c>
    </row>
    <row r="426" spans="1:17" s="15" customFormat="1" ht="38.25" customHeight="1" x14ac:dyDescent="0.2">
      <c r="A426" s="43" t="s">
        <v>1253</v>
      </c>
      <c r="B426" s="46" t="s">
        <v>39</v>
      </c>
      <c r="C426" s="44" t="s">
        <v>1233</v>
      </c>
      <c r="D426" s="47">
        <v>5824</v>
      </c>
      <c r="E426" s="46" t="s">
        <v>1245</v>
      </c>
      <c r="F426" s="35">
        <v>12189</v>
      </c>
      <c r="G426" s="40">
        <v>12189</v>
      </c>
      <c r="H426" s="35">
        <v>0</v>
      </c>
      <c r="I426" s="35">
        <f t="shared" si="80"/>
        <v>12189</v>
      </c>
      <c r="J426" s="36">
        <f t="shared" si="81"/>
        <v>0</v>
      </c>
      <c r="K426" s="48" t="s">
        <v>37</v>
      </c>
      <c r="L426" s="48" t="s">
        <v>37</v>
      </c>
      <c r="M426" s="38">
        <v>41455</v>
      </c>
      <c r="N426" s="48"/>
      <c r="O426" s="35">
        <v>12189</v>
      </c>
      <c r="P426" s="35"/>
      <c r="Q426" s="35"/>
    </row>
    <row r="427" spans="1:17" s="15" customFormat="1" ht="26.25" customHeight="1" x14ac:dyDescent="0.2">
      <c r="A427" s="43" t="s">
        <v>1254</v>
      </c>
      <c r="B427" s="46" t="s">
        <v>48</v>
      </c>
      <c r="C427" s="44" t="s">
        <v>1234</v>
      </c>
      <c r="D427" s="47">
        <v>5827</v>
      </c>
      <c r="E427" s="46" t="s">
        <v>1244</v>
      </c>
      <c r="F427" s="35">
        <v>10205</v>
      </c>
      <c r="G427" s="40">
        <v>10205</v>
      </c>
      <c r="H427" s="35">
        <v>0</v>
      </c>
      <c r="I427" s="35">
        <f t="shared" si="80"/>
        <v>10205</v>
      </c>
      <c r="J427" s="36">
        <f t="shared" si="81"/>
        <v>0</v>
      </c>
      <c r="K427" s="48" t="s">
        <v>37</v>
      </c>
      <c r="L427" s="48" t="s">
        <v>37</v>
      </c>
      <c r="M427" s="38">
        <v>41383</v>
      </c>
      <c r="N427" s="48"/>
      <c r="O427" s="35">
        <v>10205</v>
      </c>
      <c r="P427" s="35"/>
      <c r="Q427" s="35"/>
    </row>
    <row r="428" spans="1:17" s="15" customFormat="1" ht="26.25" customHeight="1" x14ac:dyDescent="0.2">
      <c r="A428" s="43" t="s">
        <v>1255</v>
      </c>
      <c r="B428" s="46" t="s">
        <v>20</v>
      </c>
      <c r="C428" s="44" t="s">
        <v>1235</v>
      </c>
      <c r="D428" s="47" t="s">
        <v>1236</v>
      </c>
      <c r="E428" s="46" t="s">
        <v>1243</v>
      </c>
      <c r="F428" s="35">
        <f>7000*3</f>
        <v>21000</v>
      </c>
      <c r="G428" s="40">
        <v>10000</v>
      </c>
      <c r="H428" s="35">
        <v>21000</v>
      </c>
      <c r="I428" s="35">
        <f t="shared" si="80"/>
        <v>31000</v>
      </c>
      <c r="J428" s="36">
        <f t="shared" si="81"/>
        <v>2.1</v>
      </c>
      <c r="K428" s="48" t="s">
        <v>37</v>
      </c>
      <c r="L428" s="48" t="s">
        <v>37</v>
      </c>
      <c r="M428" s="38">
        <v>41455</v>
      </c>
      <c r="N428" s="48" t="s">
        <v>64</v>
      </c>
      <c r="O428" s="35">
        <v>7000</v>
      </c>
      <c r="P428" s="35">
        <v>7000</v>
      </c>
      <c r="Q428" s="35">
        <v>7000</v>
      </c>
    </row>
    <row r="429" spans="1:17" s="15" customFormat="1" ht="26.25" customHeight="1" x14ac:dyDescent="0.2">
      <c r="A429" s="43" t="s">
        <v>1256</v>
      </c>
      <c r="B429" s="46" t="s">
        <v>17</v>
      </c>
      <c r="C429" s="44" t="s">
        <v>797</v>
      </c>
      <c r="D429" s="47" t="s">
        <v>1258</v>
      </c>
      <c r="E429" s="46" t="s">
        <v>1260</v>
      </c>
      <c r="F429" s="49">
        <f>30000*3</f>
        <v>90000</v>
      </c>
      <c r="G429" s="40">
        <v>32000</v>
      </c>
      <c r="H429" s="35">
        <f>32000+30000*3</f>
        <v>122000</v>
      </c>
      <c r="I429" s="35">
        <f t="shared" ref="I429:I441" si="82">G429+H429</f>
        <v>154000</v>
      </c>
      <c r="J429" s="36">
        <f t="shared" ref="J429:J441" si="83">IF(G429=0,100%,(I429-G429)/G429)</f>
        <v>3.8125</v>
      </c>
      <c r="K429" s="48" t="s">
        <v>37</v>
      </c>
      <c r="L429" s="48" t="s">
        <v>37</v>
      </c>
      <c r="M429" s="38">
        <v>41455</v>
      </c>
      <c r="N429" s="48" t="s">
        <v>64</v>
      </c>
      <c r="O429" s="35">
        <v>30000</v>
      </c>
      <c r="P429" s="35">
        <v>30000</v>
      </c>
      <c r="Q429" s="35">
        <v>30000</v>
      </c>
    </row>
    <row r="430" spans="1:17" s="15" customFormat="1" ht="26.25" customHeight="1" x14ac:dyDescent="0.2">
      <c r="A430" s="43" t="s">
        <v>1257</v>
      </c>
      <c r="B430" s="46" t="s">
        <v>17</v>
      </c>
      <c r="C430" s="44" t="s">
        <v>968</v>
      </c>
      <c r="D430" s="47" t="s">
        <v>1259</v>
      </c>
      <c r="E430" s="46" t="s">
        <v>963</v>
      </c>
      <c r="F430" s="35">
        <v>46900</v>
      </c>
      <c r="G430" s="40">
        <v>702341</v>
      </c>
      <c r="H430" s="35">
        <f>46900+46900</f>
        <v>93800</v>
      </c>
      <c r="I430" s="35">
        <f t="shared" si="82"/>
        <v>796141</v>
      </c>
      <c r="J430" s="36">
        <f t="shared" si="83"/>
        <v>0.13355335940803684</v>
      </c>
      <c r="K430" s="48" t="s">
        <v>37</v>
      </c>
      <c r="L430" s="48" t="s">
        <v>37</v>
      </c>
      <c r="M430" s="38">
        <v>41493</v>
      </c>
      <c r="N430" s="48" t="s">
        <v>36</v>
      </c>
      <c r="O430" s="35">
        <v>46900</v>
      </c>
      <c r="P430" s="35"/>
      <c r="Q430" s="35"/>
    </row>
    <row r="431" spans="1:17" s="15" customFormat="1" ht="38.25" customHeight="1" x14ac:dyDescent="0.2">
      <c r="A431" s="43" t="s">
        <v>1261</v>
      </c>
      <c r="B431" s="46" t="s">
        <v>1176</v>
      </c>
      <c r="C431" s="44" t="s">
        <v>1267</v>
      </c>
      <c r="D431" s="47" t="s">
        <v>41</v>
      </c>
      <c r="E431" s="46" t="s">
        <v>1272</v>
      </c>
      <c r="F431" s="35">
        <v>20500</v>
      </c>
      <c r="G431" s="40">
        <v>20500</v>
      </c>
      <c r="H431" s="35">
        <v>0</v>
      </c>
      <c r="I431" s="35">
        <f t="shared" si="82"/>
        <v>20500</v>
      </c>
      <c r="J431" s="36">
        <f t="shared" si="83"/>
        <v>0</v>
      </c>
      <c r="K431" s="48" t="s">
        <v>37</v>
      </c>
      <c r="L431" s="48" t="s">
        <v>37</v>
      </c>
      <c r="M431" s="38">
        <v>41455</v>
      </c>
      <c r="N431" s="48"/>
      <c r="O431" s="35">
        <v>20500</v>
      </c>
      <c r="P431" s="35"/>
      <c r="Q431" s="35"/>
    </row>
    <row r="432" spans="1:17" s="15" customFormat="1" ht="26.25" customHeight="1" x14ac:dyDescent="0.2">
      <c r="A432" s="43" t="s">
        <v>1262</v>
      </c>
      <c r="B432" s="46" t="s">
        <v>21</v>
      </c>
      <c r="C432" s="44" t="s">
        <v>22</v>
      </c>
      <c r="D432" s="47">
        <v>5872</v>
      </c>
      <c r="E432" s="46" t="s">
        <v>1273</v>
      </c>
      <c r="F432" s="35">
        <v>7000</v>
      </c>
      <c r="G432" s="40">
        <v>7000</v>
      </c>
      <c r="H432" s="35">
        <v>0</v>
      </c>
      <c r="I432" s="35">
        <f t="shared" si="82"/>
        <v>7000</v>
      </c>
      <c r="J432" s="36">
        <f t="shared" si="83"/>
        <v>0</v>
      </c>
      <c r="K432" s="48" t="s">
        <v>37</v>
      </c>
      <c r="L432" s="48" t="s">
        <v>37</v>
      </c>
      <c r="M432" s="38">
        <v>41455</v>
      </c>
      <c r="N432" s="48"/>
      <c r="O432" s="35">
        <v>7000</v>
      </c>
      <c r="P432" s="35"/>
      <c r="Q432" s="35"/>
    </row>
    <row r="433" spans="1:17" s="15" customFormat="1" ht="38.25" customHeight="1" x14ac:dyDescent="0.2">
      <c r="A433" s="43" t="s">
        <v>1263</v>
      </c>
      <c r="B433" s="46" t="s">
        <v>39</v>
      </c>
      <c r="C433" s="44" t="s">
        <v>617</v>
      </c>
      <c r="D433" s="47">
        <v>5545</v>
      </c>
      <c r="E433" s="46" t="s">
        <v>1277</v>
      </c>
      <c r="F433" s="35">
        <v>49920</v>
      </c>
      <c r="G433" s="40">
        <v>49920</v>
      </c>
      <c r="H433" s="35">
        <v>0</v>
      </c>
      <c r="I433" s="35">
        <f t="shared" si="82"/>
        <v>49920</v>
      </c>
      <c r="J433" s="36">
        <f t="shared" si="83"/>
        <v>0</v>
      </c>
      <c r="K433" s="48" t="s">
        <v>37</v>
      </c>
      <c r="L433" s="48" t="s">
        <v>37</v>
      </c>
      <c r="M433" s="38">
        <v>41455</v>
      </c>
      <c r="N433" s="48"/>
      <c r="O433" s="35">
        <v>49920</v>
      </c>
      <c r="P433" s="35"/>
      <c r="Q433" s="35"/>
    </row>
    <row r="434" spans="1:17" s="15" customFormat="1" ht="26.25" customHeight="1" x14ac:dyDescent="0.2">
      <c r="A434" s="43" t="s">
        <v>1264</v>
      </c>
      <c r="B434" s="46" t="s">
        <v>48</v>
      </c>
      <c r="C434" s="44" t="s">
        <v>1268</v>
      </c>
      <c r="D434" s="47">
        <v>5908</v>
      </c>
      <c r="E434" s="46" t="s">
        <v>1276</v>
      </c>
      <c r="F434" s="35">
        <v>5680</v>
      </c>
      <c r="G434" s="40">
        <v>5680</v>
      </c>
      <c r="H434" s="35">
        <v>0</v>
      </c>
      <c r="I434" s="35">
        <f t="shared" si="82"/>
        <v>5680</v>
      </c>
      <c r="J434" s="36">
        <f t="shared" si="83"/>
        <v>0</v>
      </c>
      <c r="K434" s="48" t="s">
        <v>37</v>
      </c>
      <c r="L434" s="48" t="s">
        <v>42</v>
      </c>
      <c r="M434" s="38">
        <v>41383</v>
      </c>
      <c r="N434" s="48"/>
      <c r="O434" s="35">
        <v>5680</v>
      </c>
      <c r="P434" s="35"/>
      <c r="Q434" s="35"/>
    </row>
    <row r="435" spans="1:17" s="15" customFormat="1" ht="38.25" customHeight="1" x14ac:dyDescent="0.2">
      <c r="A435" s="43" t="s">
        <v>1265</v>
      </c>
      <c r="B435" s="46" t="s">
        <v>45</v>
      </c>
      <c r="C435" s="44" t="s">
        <v>905</v>
      </c>
      <c r="D435" s="47" t="s">
        <v>1270</v>
      </c>
      <c r="E435" s="46" t="s">
        <v>1275</v>
      </c>
      <c r="F435" s="35">
        <v>9802</v>
      </c>
      <c r="G435" s="40">
        <v>9802</v>
      </c>
      <c r="H435" s="35">
        <v>9802</v>
      </c>
      <c r="I435" s="35">
        <f t="shared" si="82"/>
        <v>19604</v>
      </c>
      <c r="J435" s="36">
        <f t="shared" si="83"/>
        <v>1</v>
      </c>
      <c r="K435" s="48" t="s">
        <v>37</v>
      </c>
      <c r="L435" s="48" t="s">
        <v>37</v>
      </c>
      <c r="M435" s="38">
        <v>41455</v>
      </c>
      <c r="N435" s="48" t="s">
        <v>36</v>
      </c>
      <c r="O435" s="35">
        <v>9802</v>
      </c>
      <c r="P435" s="35"/>
      <c r="Q435" s="35"/>
    </row>
    <row r="436" spans="1:17" s="15" customFormat="1" ht="26.25" customHeight="1" x14ac:dyDescent="0.2">
      <c r="A436" s="43" t="s">
        <v>1266</v>
      </c>
      <c r="B436" s="46" t="s">
        <v>45</v>
      </c>
      <c r="C436" s="44" t="s">
        <v>1269</v>
      </c>
      <c r="D436" s="47" t="s">
        <v>1271</v>
      </c>
      <c r="E436" s="46" t="s">
        <v>1274</v>
      </c>
      <c r="F436" s="35">
        <v>36400</v>
      </c>
      <c r="G436" s="40">
        <v>403563</v>
      </c>
      <c r="H436" s="35">
        <f>134521+7000+134521+36400</f>
        <v>312442</v>
      </c>
      <c r="I436" s="35">
        <f t="shared" si="82"/>
        <v>716005</v>
      </c>
      <c r="J436" s="36">
        <f t="shared" si="83"/>
        <v>0.77420873568686921</v>
      </c>
      <c r="K436" s="48" t="s">
        <v>37</v>
      </c>
      <c r="L436" s="48" t="s">
        <v>37</v>
      </c>
      <c r="M436" s="38">
        <v>41455</v>
      </c>
      <c r="N436" s="48" t="s">
        <v>36</v>
      </c>
      <c r="O436" s="35">
        <v>36400</v>
      </c>
      <c r="P436" s="35"/>
      <c r="Q436" s="35"/>
    </row>
    <row r="437" spans="1:17" s="15" customFormat="1" ht="26.25" customHeight="1" x14ac:dyDescent="0.2">
      <c r="A437" s="43" t="s">
        <v>1278</v>
      </c>
      <c r="B437" s="46" t="s">
        <v>26</v>
      </c>
      <c r="C437" s="44" t="s">
        <v>622</v>
      </c>
      <c r="D437" s="47" t="s">
        <v>41</v>
      </c>
      <c r="E437" s="46" t="s">
        <v>1280</v>
      </c>
      <c r="F437" s="35">
        <v>99000</v>
      </c>
      <c r="G437" s="40">
        <v>99000</v>
      </c>
      <c r="H437" s="35">
        <v>0</v>
      </c>
      <c r="I437" s="35">
        <f t="shared" si="82"/>
        <v>99000</v>
      </c>
      <c r="J437" s="36">
        <f t="shared" si="83"/>
        <v>0</v>
      </c>
      <c r="K437" s="48" t="s">
        <v>37</v>
      </c>
      <c r="L437" s="48" t="s">
        <v>37</v>
      </c>
      <c r="M437" s="38">
        <v>41455</v>
      </c>
      <c r="N437" s="48"/>
      <c r="O437" s="35">
        <v>99000</v>
      </c>
      <c r="P437" s="35"/>
      <c r="Q437" s="35"/>
    </row>
    <row r="438" spans="1:17" s="15" customFormat="1" ht="26.25" customHeight="1" x14ac:dyDescent="0.2">
      <c r="A438" s="43" t="s">
        <v>1279</v>
      </c>
      <c r="B438" s="46" t="s">
        <v>39</v>
      </c>
      <c r="C438" s="44" t="s">
        <v>623</v>
      </c>
      <c r="D438" s="47">
        <v>5572</v>
      </c>
      <c r="E438" s="46" t="s">
        <v>1281</v>
      </c>
      <c r="F438" s="35">
        <v>75150</v>
      </c>
      <c r="G438" s="40">
        <v>75150</v>
      </c>
      <c r="H438" s="35">
        <v>0</v>
      </c>
      <c r="I438" s="35">
        <f t="shared" si="82"/>
        <v>75150</v>
      </c>
      <c r="J438" s="36">
        <f t="shared" si="83"/>
        <v>0</v>
      </c>
      <c r="K438" s="48" t="s">
        <v>37</v>
      </c>
      <c r="L438" s="48" t="s">
        <v>37</v>
      </c>
      <c r="M438" s="38">
        <v>41455</v>
      </c>
      <c r="N438" s="48"/>
      <c r="O438" s="35">
        <v>75150</v>
      </c>
      <c r="P438" s="35"/>
      <c r="Q438" s="35"/>
    </row>
    <row r="439" spans="1:17" s="15" customFormat="1" ht="26.25" customHeight="1" x14ac:dyDescent="0.2">
      <c r="A439" s="43" t="s">
        <v>1282</v>
      </c>
      <c r="B439" s="46" t="s">
        <v>39</v>
      </c>
      <c r="C439" s="44" t="s">
        <v>1284</v>
      </c>
      <c r="D439" s="47">
        <v>5974</v>
      </c>
      <c r="E439" s="46" t="s">
        <v>1286</v>
      </c>
      <c r="F439" s="35">
        <v>98000</v>
      </c>
      <c r="G439" s="40">
        <v>98000</v>
      </c>
      <c r="H439" s="35">
        <v>0</v>
      </c>
      <c r="I439" s="35">
        <f t="shared" si="82"/>
        <v>98000</v>
      </c>
      <c r="J439" s="36">
        <f t="shared" si="83"/>
        <v>0</v>
      </c>
      <c r="K439" s="48" t="s">
        <v>37</v>
      </c>
      <c r="L439" s="48" t="s">
        <v>42</v>
      </c>
      <c r="M439" s="38">
        <v>41455</v>
      </c>
      <c r="N439" s="48"/>
      <c r="O439" s="35">
        <v>98000</v>
      </c>
      <c r="P439" s="35"/>
      <c r="Q439" s="35"/>
    </row>
    <row r="440" spans="1:17" s="15" customFormat="1" ht="38.25" customHeight="1" x14ac:dyDescent="0.2">
      <c r="A440" s="43" t="s">
        <v>1283</v>
      </c>
      <c r="B440" s="46" t="s">
        <v>39</v>
      </c>
      <c r="C440" s="44" t="s">
        <v>1285</v>
      </c>
      <c r="D440" s="47">
        <v>5962</v>
      </c>
      <c r="E440" s="46" t="s">
        <v>1287</v>
      </c>
      <c r="F440" s="35">
        <v>99299</v>
      </c>
      <c r="G440" s="40">
        <v>99299</v>
      </c>
      <c r="H440" s="35">
        <v>0</v>
      </c>
      <c r="I440" s="35">
        <f t="shared" si="82"/>
        <v>99299</v>
      </c>
      <c r="J440" s="36">
        <f t="shared" si="83"/>
        <v>0</v>
      </c>
      <c r="K440" s="48" t="s">
        <v>37</v>
      </c>
      <c r="L440" s="48" t="s">
        <v>42</v>
      </c>
      <c r="M440" s="38">
        <v>41455</v>
      </c>
      <c r="N440" s="48"/>
      <c r="O440" s="35">
        <v>99299</v>
      </c>
      <c r="P440" s="35"/>
      <c r="Q440" s="35"/>
    </row>
    <row r="441" spans="1:17" s="15" customFormat="1" ht="26.25" customHeight="1" x14ac:dyDescent="0.2">
      <c r="A441" s="43" t="s">
        <v>1288</v>
      </c>
      <c r="B441" s="46" t="s">
        <v>46</v>
      </c>
      <c r="C441" s="44" t="s">
        <v>88</v>
      </c>
      <c r="D441" s="47">
        <v>5935</v>
      </c>
      <c r="E441" s="46" t="s">
        <v>1309</v>
      </c>
      <c r="F441" s="35">
        <v>14414</v>
      </c>
      <c r="G441" s="40">
        <v>14414</v>
      </c>
      <c r="H441" s="35">
        <v>0</v>
      </c>
      <c r="I441" s="35">
        <f t="shared" si="82"/>
        <v>14414</v>
      </c>
      <c r="J441" s="36">
        <f t="shared" si="83"/>
        <v>0</v>
      </c>
      <c r="K441" s="48" t="s">
        <v>37</v>
      </c>
      <c r="L441" s="48" t="s">
        <v>42</v>
      </c>
      <c r="M441" s="38">
        <v>41455</v>
      </c>
      <c r="N441" s="48"/>
      <c r="O441" s="35">
        <v>14414</v>
      </c>
      <c r="P441" s="35"/>
      <c r="Q441" s="35"/>
    </row>
    <row r="442" spans="1:17" s="15" customFormat="1" ht="26.25" customHeight="1" x14ac:dyDescent="0.2">
      <c r="A442" s="43" t="s">
        <v>1289</v>
      </c>
      <c r="B442" s="46" t="s">
        <v>67</v>
      </c>
      <c r="C442" s="44" t="s">
        <v>1301</v>
      </c>
      <c r="D442" s="47">
        <v>5944</v>
      </c>
      <c r="E442" s="46" t="s">
        <v>1316</v>
      </c>
      <c r="F442" s="35">
        <f>27250*3</f>
        <v>81750</v>
      </c>
      <c r="G442" s="40">
        <f>27250*3</f>
        <v>81750</v>
      </c>
      <c r="H442" s="35">
        <v>0</v>
      </c>
      <c r="I442" s="35">
        <f t="shared" ref="I442:I456" si="84">G442+H442</f>
        <v>81750</v>
      </c>
      <c r="J442" s="36">
        <f t="shared" ref="J442:J456" si="85">IF(G442=0,100%,(I442-G442)/G442)</f>
        <v>0</v>
      </c>
      <c r="K442" s="48" t="s">
        <v>37</v>
      </c>
      <c r="L442" s="48" t="s">
        <v>42</v>
      </c>
      <c r="M442" s="38">
        <v>41455</v>
      </c>
      <c r="N442" s="48" t="s">
        <v>64</v>
      </c>
      <c r="O442" s="35">
        <v>27250</v>
      </c>
      <c r="P442" s="35">
        <v>27250</v>
      </c>
      <c r="Q442" s="35">
        <v>27250</v>
      </c>
    </row>
    <row r="443" spans="1:17" s="15" customFormat="1" ht="26.25" customHeight="1" x14ac:dyDescent="0.2">
      <c r="A443" s="43" t="s">
        <v>1290</v>
      </c>
      <c r="B443" s="46" t="s">
        <v>48</v>
      </c>
      <c r="C443" s="44" t="s">
        <v>1302</v>
      </c>
      <c r="D443" s="47">
        <v>5951</v>
      </c>
      <c r="E443" s="46" t="s">
        <v>1317</v>
      </c>
      <c r="F443" s="35">
        <v>9355</v>
      </c>
      <c r="G443" s="40">
        <v>9355</v>
      </c>
      <c r="H443" s="35">
        <v>0</v>
      </c>
      <c r="I443" s="35">
        <f t="shared" si="84"/>
        <v>9355</v>
      </c>
      <c r="J443" s="36">
        <f t="shared" si="85"/>
        <v>0</v>
      </c>
      <c r="K443" s="48" t="s">
        <v>37</v>
      </c>
      <c r="L443" s="48" t="s">
        <v>42</v>
      </c>
      <c r="M443" s="38">
        <v>41383</v>
      </c>
      <c r="N443" s="48"/>
      <c r="O443" s="35">
        <v>9355</v>
      </c>
      <c r="P443" s="35"/>
      <c r="Q443" s="35"/>
    </row>
    <row r="444" spans="1:17" s="15" customFormat="1" ht="26.25" customHeight="1" x14ac:dyDescent="0.2">
      <c r="A444" s="43" t="s">
        <v>1291</v>
      </c>
      <c r="B444" s="46" t="s">
        <v>20</v>
      </c>
      <c r="C444" s="44" t="s">
        <v>1303</v>
      </c>
      <c r="D444" s="47" t="s">
        <v>1306</v>
      </c>
      <c r="E444" s="46" t="s">
        <v>1310</v>
      </c>
      <c r="F444" s="35">
        <f>6000*3</f>
        <v>18000</v>
      </c>
      <c r="G444" s="40">
        <v>25000</v>
      </c>
      <c r="H444" s="35">
        <f>6000*3</f>
        <v>18000</v>
      </c>
      <c r="I444" s="35">
        <f t="shared" si="84"/>
        <v>43000</v>
      </c>
      <c r="J444" s="36">
        <f t="shared" si="85"/>
        <v>0.72</v>
      </c>
      <c r="K444" s="48" t="s">
        <v>37</v>
      </c>
      <c r="L444" s="48" t="s">
        <v>37</v>
      </c>
      <c r="M444" s="38">
        <v>41455</v>
      </c>
      <c r="N444" s="48" t="s">
        <v>64</v>
      </c>
      <c r="O444" s="35">
        <v>6000</v>
      </c>
      <c r="P444" s="35">
        <v>6000</v>
      </c>
      <c r="Q444" s="35">
        <v>6000</v>
      </c>
    </row>
    <row r="445" spans="1:17" s="15" customFormat="1" ht="26.25" customHeight="1" x14ac:dyDescent="0.2">
      <c r="A445" s="43" t="s">
        <v>1292</v>
      </c>
      <c r="B445" s="46" t="s">
        <v>1296</v>
      </c>
      <c r="C445" s="44" t="s">
        <v>1297</v>
      </c>
      <c r="D445" s="47">
        <v>5953</v>
      </c>
      <c r="E445" s="46" t="s">
        <v>1311</v>
      </c>
      <c r="F445" s="35">
        <v>44500</v>
      </c>
      <c r="G445" s="40">
        <v>44500</v>
      </c>
      <c r="H445" s="35">
        <v>0</v>
      </c>
      <c r="I445" s="35">
        <f t="shared" si="84"/>
        <v>44500</v>
      </c>
      <c r="J445" s="36">
        <f t="shared" si="85"/>
        <v>0</v>
      </c>
      <c r="K445" s="48" t="s">
        <v>37</v>
      </c>
      <c r="L445" s="48" t="s">
        <v>37</v>
      </c>
      <c r="M445" s="38">
        <v>41455</v>
      </c>
      <c r="N445" s="48"/>
      <c r="O445" s="35">
        <v>44500</v>
      </c>
      <c r="P445" s="35"/>
      <c r="Q445" s="35"/>
    </row>
    <row r="446" spans="1:17" s="15" customFormat="1" ht="26.25" customHeight="1" x14ac:dyDescent="0.2">
      <c r="A446" s="43" t="s">
        <v>1293</v>
      </c>
      <c r="B446" s="46" t="s">
        <v>48</v>
      </c>
      <c r="C446" s="44" t="s">
        <v>1298</v>
      </c>
      <c r="D446" s="47">
        <v>5955</v>
      </c>
      <c r="E446" s="46" t="s">
        <v>1312</v>
      </c>
      <c r="F446" s="35">
        <v>20859</v>
      </c>
      <c r="G446" s="40">
        <v>20859</v>
      </c>
      <c r="H446" s="35">
        <v>0</v>
      </c>
      <c r="I446" s="35">
        <f t="shared" si="84"/>
        <v>20859</v>
      </c>
      <c r="J446" s="36">
        <f t="shared" si="85"/>
        <v>0</v>
      </c>
      <c r="K446" s="48" t="s">
        <v>37</v>
      </c>
      <c r="L446" s="48" t="s">
        <v>37</v>
      </c>
      <c r="M446" s="38">
        <v>41399</v>
      </c>
      <c r="N446" s="48"/>
      <c r="O446" s="35">
        <v>20859</v>
      </c>
      <c r="P446" s="35"/>
      <c r="Q446" s="35"/>
    </row>
    <row r="447" spans="1:17" s="15" customFormat="1" ht="26.25" customHeight="1" x14ac:dyDescent="0.2">
      <c r="A447" s="43" t="s">
        <v>1294</v>
      </c>
      <c r="B447" s="46" t="s">
        <v>18</v>
      </c>
      <c r="C447" s="44" t="s">
        <v>1299</v>
      </c>
      <c r="D447" s="47" t="s">
        <v>1307</v>
      </c>
      <c r="E447" s="46" t="s">
        <v>1313</v>
      </c>
      <c r="F447" s="35">
        <v>15000</v>
      </c>
      <c r="G447" s="40">
        <v>5000</v>
      </c>
      <c r="H447" s="35">
        <v>15000</v>
      </c>
      <c r="I447" s="35">
        <f t="shared" si="84"/>
        <v>20000</v>
      </c>
      <c r="J447" s="36">
        <f t="shared" si="85"/>
        <v>3</v>
      </c>
      <c r="K447" s="48" t="s">
        <v>37</v>
      </c>
      <c r="L447" s="48" t="s">
        <v>37</v>
      </c>
      <c r="M447" s="52" t="s">
        <v>69</v>
      </c>
      <c r="N447" s="48" t="s">
        <v>36</v>
      </c>
      <c r="O447" s="35">
        <v>15000</v>
      </c>
      <c r="P447" s="35"/>
      <c r="Q447" s="35"/>
    </row>
    <row r="448" spans="1:17" s="15" customFormat="1" ht="26.25" customHeight="1" x14ac:dyDescent="0.2">
      <c r="A448" s="43" t="s">
        <v>1295</v>
      </c>
      <c r="B448" s="46" t="s">
        <v>18</v>
      </c>
      <c r="C448" s="44" t="s">
        <v>1300</v>
      </c>
      <c r="D448" s="47" t="s">
        <v>1308</v>
      </c>
      <c r="E448" s="46" t="s">
        <v>1314</v>
      </c>
      <c r="F448" s="35">
        <v>15000</v>
      </c>
      <c r="G448" s="40">
        <v>10000</v>
      </c>
      <c r="H448" s="35">
        <f>30000+15000</f>
        <v>45000</v>
      </c>
      <c r="I448" s="35">
        <f t="shared" si="84"/>
        <v>55000</v>
      </c>
      <c r="J448" s="36">
        <f t="shared" si="85"/>
        <v>4.5</v>
      </c>
      <c r="K448" s="48" t="s">
        <v>37</v>
      </c>
      <c r="L448" s="48" t="s">
        <v>37</v>
      </c>
      <c r="M448" s="52" t="s">
        <v>69</v>
      </c>
      <c r="N448" s="48" t="s">
        <v>36</v>
      </c>
      <c r="O448" s="35">
        <v>15000</v>
      </c>
      <c r="P448" s="35"/>
      <c r="Q448" s="35"/>
    </row>
    <row r="449" spans="1:17" s="15" customFormat="1" ht="38.25" customHeight="1" x14ac:dyDescent="0.2">
      <c r="A449" s="43" t="s">
        <v>1304</v>
      </c>
      <c r="B449" s="46" t="s">
        <v>19</v>
      </c>
      <c r="C449" s="44" t="s">
        <v>1305</v>
      </c>
      <c r="D449" s="47" t="s">
        <v>1401</v>
      </c>
      <c r="E449" s="46" t="s">
        <v>1315</v>
      </c>
      <c r="F449" s="35">
        <v>48750</v>
      </c>
      <c r="G449" s="40">
        <v>48750</v>
      </c>
      <c r="H449" s="35">
        <v>0</v>
      </c>
      <c r="I449" s="35">
        <f t="shared" si="84"/>
        <v>48750</v>
      </c>
      <c r="J449" s="36">
        <f t="shared" si="85"/>
        <v>0</v>
      </c>
      <c r="K449" s="48" t="s">
        <v>37</v>
      </c>
      <c r="L449" s="48" t="s">
        <v>37</v>
      </c>
      <c r="M449" s="38">
        <v>41639</v>
      </c>
      <c r="N449" s="48"/>
      <c r="O449" s="35">
        <v>48750</v>
      </c>
      <c r="P449" s="35"/>
      <c r="Q449" s="35"/>
    </row>
    <row r="450" spans="1:17" s="15" customFormat="1" ht="38.25" customHeight="1" x14ac:dyDescent="0.2">
      <c r="A450" s="43" t="s">
        <v>1318</v>
      </c>
      <c r="B450" s="46" t="s">
        <v>39</v>
      </c>
      <c r="C450" s="44" t="s">
        <v>646</v>
      </c>
      <c r="D450" s="47">
        <v>6041</v>
      </c>
      <c r="E450" s="46" t="s">
        <v>1319</v>
      </c>
      <c r="F450" s="35">
        <v>94860</v>
      </c>
      <c r="G450" s="40">
        <v>94860</v>
      </c>
      <c r="H450" s="35">
        <v>0</v>
      </c>
      <c r="I450" s="35">
        <f t="shared" si="84"/>
        <v>94860</v>
      </c>
      <c r="J450" s="36">
        <f t="shared" si="85"/>
        <v>0</v>
      </c>
      <c r="K450" s="48" t="s">
        <v>37</v>
      </c>
      <c r="L450" s="48" t="s">
        <v>37</v>
      </c>
      <c r="M450" s="38">
        <v>41639</v>
      </c>
      <c r="N450" s="48"/>
      <c r="O450" s="35">
        <v>94860</v>
      </c>
      <c r="P450" s="35"/>
      <c r="Q450" s="35"/>
    </row>
    <row r="451" spans="1:17" s="15" customFormat="1" ht="26.25" customHeight="1" x14ac:dyDescent="0.2">
      <c r="A451" s="43" t="s">
        <v>1320</v>
      </c>
      <c r="B451" s="46" t="s">
        <v>67</v>
      </c>
      <c r="C451" s="44" t="s">
        <v>1328</v>
      </c>
      <c r="D451" s="47" t="s">
        <v>1331</v>
      </c>
      <c r="E451" s="46" t="s">
        <v>1332</v>
      </c>
      <c r="F451" s="35">
        <v>4000</v>
      </c>
      <c r="G451" s="40">
        <v>4000</v>
      </c>
      <c r="H451" s="35">
        <v>4000</v>
      </c>
      <c r="I451" s="35">
        <f t="shared" si="84"/>
        <v>8000</v>
      </c>
      <c r="J451" s="36">
        <f t="shared" si="85"/>
        <v>1</v>
      </c>
      <c r="K451" s="48" t="s">
        <v>37</v>
      </c>
      <c r="L451" s="48" t="s">
        <v>37</v>
      </c>
      <c r="M451" s="38">
        <v>41455</v>
      </c>
      <c r="N451" s="48" t="s">
        <v>36</v>
      </c>
      <c r="O451" s="35">
        <v>4000</v>
      </c>
      <c r="P451" s="35"/>
      <c r="Q451" s="35"/>
    </row>
    <row r="452" spans="1:17" s="15" customFormat="1" ht="26.25" customHeight="1" x14ac:dyDescent="0.2">
      <c r="A452" s="43" t="s">
        <v>1321</v>
      </c>
      <c r="B452" s="46" t="s">
        <v>48</v>
      </c>
      <c r="C452" s="44" t="s">
        <v>1212</v>
      </c>
      <c r="D452" s="47">
        <v>6111</v>
      </c>
      <c r="E452" s="46" t="s">
        <v>1333</v>
      </c>
      <c r="F452" s="35">
        <v>10136</v>
      </c>
      <c r="G452" s="40">
        <v>10136</v>
      </c>
      <c r="H452" s="35">
        <v>0</v>
      </c>
      <c r="I452" s="35">
        <f t="shared" si="84"/>
        <v>10136</v>
      </c>
      <c r="J452" s="36">
        <f t="shared" si="85"/>
        <v>0</v>
      </c>
      <c r="K452" s="48" t="s">
        <v>37</v>
      </c>
      <c r="L452" s="48" t="s">
        <v>37</v>
      </c>
      <c r="M452" s="38">
        <v>41406</v>
      </c>
      <c r="N452" s="48"/>
      <c r="O452" s="35">
        <v>10136</v>
      </c>
      <c r="P452" s="35"/>
      <c r="Q452" s="35"/>
    </row>
    <row r="453" spans="1:17" s="15" customFormat="1" ht="38.25" customHeight="1" x14ac:dyDescent="0.2">
      <c r="A453" s="43" t="s">
        <v>1322</v>
      </c>
      <c r="B453" s="46" t="s">
        <v>48</v>
      </c>
      <c r="C453" s="44" t="s">
        <v>1010</v>
      </c>
      <c r="D453" s="47">
        <v>6113</v>
      </c>
      <c r="E453" s="46" t="s">
        <v>1334</v>
      </c>
      <c r="F453" s="35">
        <v>13000</v>
      </c>
      <c r="G453" s="40">
        <v>13000</v>
      </c>
      <c r="H453" s="35">
        <v>0</v>
      </c>
      <c r="I453" s="35">
        <f t="shared" si="84"/>
        <v>13000</v>
      </c>
      <c r="J453" s="36">
        <f t="shared" si="85"/>
        <v>0</v>
      </c>
      <c r="K453" s="48" t="s">
        <v>37</v>
      </c>
      <c r="L453" s="48" t="s">
        <v>37</v>
      </c>
      <c r="M453" s="38">
        <v>41406</v>
      </c>
      <c r="N453" s="48"/>
      <c r="O453" s="35">
        <v>13000</v>
      </c>
      <c r="P453" s="35"/>
      <c r="Q453" s="35"/>
    </row>
    <row r="454" spans="1:17" s="15" customFormat="1" ht="38.25" customHeight="1" x14ac:dyDescent="0.2">
      <c r="A454" s="43" t="s">
        <v>1323</v>
      </c>
      <c r="B454" s="46" t="s">
        <v>48</v>
      </c>
      <c r="C454" s="44" t="s">
        <v>1234</v>
      </c>
      <c r="D454" s="47">
        <v>6121</v>
      </c>
      <c r="E454" s="46" t="s">
        <v>1335</v>
      </c>
      <c r="F454" s="35">
        <v>13400</v>
      </c>
      <c r="G454" s="40">
        <v>13400</v>
      </c>
      <c r="H454" s="35">
        <v>0</v>
      </c>
      <c r="I454" s="35">
        <f t="shared" si="84"/>
        <v>13400</v>
      </c>
      <c r="J454" s="36">
        <f t="shared" si="85"/>
        <v>0</v>
      </c>
      <c r="K454" s="48" t="s">
        <v>37</v>
      </c>
      <c r="L454" s="48" t="s">
        <v>37</v>
      </c>
      <c r="M454" s="38">
        <v>41406</v>
      </c>
      <c r="N454" s="48"/>
      <c r="O454" s="35">
        <v>13400</v>
      </c>
      <c r="P454" s="35"/>
      <c r="Q454" s="35"/>
    </row>
    <row r="455" spans="1:17" s="15" customFormat="1" ht="38.25" customHeight="1" x14ac:dyDescent="0.2">
      <c r="A455" s="43" t="s">
        <v>1324</v>
      </c>
      <c r="B455" s="46" t="s">
        <v>48</v>
      </c>
      <c r="C455" s="44" t="s">
        <v>1329</v>
      </c>
      <c r="D455" s="47">
        <v>6123</v>
      </c>
      <c r="E455" s="46" t="s">
        <v>1336</v>
      </c>
      <c r="F455" s="35">
        <v>7200</v>
      </c>
      <c r="G455" s="40">
        <v>7200</v>
      </c>
      <c r="H455" s="35">
        <v>0</v>
      </c>
      <c r="I455" s="35">
        <f t="shared" si="84"/>
        <v>7200</v>
      </c>
      <c r="J455" s="36">
        <f t="shared" si="85"/>
        <v>0</v>
      </c>
      <c r="K455" s="48" t="s">
        <v>37</v>
      </c>
      <c r="L455" s="48" t="s">
        <v>37</v>
      </c>
      <c r="M455" s="38">
        <v>41406</v>
      </c>
      <c r="N455" s="48"/>
      <c r="O455" s="35">
        <v>7200</v>
      </c>
      <c r="P455" s="35"/>
      <c r="Q455" s="35"/>
    </row>
    <row r="456" spans="1:17" s="15" customFormat="1" ht="26.25" customHeight="1" x14ac:dyDescent="0.2">
      <c r="A456" s="43" t="s">
        <v>1325</v>
      </c>
      <c r="B456" s="46" t="s">
        <v>17</v>
      </c>
      <c r="C456" s="44" t="s">
        <v>1330</v>
      </c>
      <c r="D456" s="47">
        <v>5892</v>
      </c>
      <c r="E456" s="46" t="s">
        <v>1337</v>
      </c>
      <c r="F456" s="35">
        <v>48000</v>
      </c>
      <c r="G456" s="40">
        <v>48000</v>
      </c>
      <c r="H456" s="35">
        <v>0</v>
      </c>
      <c r="I456" s="35">
        <f t="shared" si="84"/>
        <v>48000</v>
      </c>
      <c r="J456" s="36">
        <f t="shared" si="85"/>
        <v>0</v>
      </c>
      <c r="K456" s="48" t="s">
        <v>37</v>
      </c>
      <c r="L456" s="48" t="s">
        <v>37</v>
      </c>
      <c r="M456" s="38">
        <v>41455</v>
      </c>
      <c r="N456" s="48"/>
      <c r="O456" s="35">
        <v>48000</v>
      </c>
      <c r="P456" s="35"/>
      <c r="Q456" s="35"/>
    </row>
    <row r="457" spans="1:17" s="15" customFormat="1" ht="18" customHeight="1" x14ac:dyDescent="0.2">
      <c r="A457" s="43" t="s">
        <v>1326</v>
      </c>
      <c r="B457" s="46" t="s">
        <v>43</v>
      </c>
      <c r="C457" s="44"/>
      <c r="D457" s="47"/>
      <c r="E457" s="46"/>
      <c r="F457" s="35"/>
      <c r="G457" s="40"/>
      <c r="H457" s="35"/>
      <c r="I457" s="35"/>
      <c r="J457" s="36"/>
      <c r="K457" s="48"/>
      <c r="L457" s="48"/>
      <c r="M457" s="38"/>
      <c r="N457" s="48"/>
      <c r="O457" s="35"/>
      <c r="P457" s="35"/>
      <c r="Q457" s="35"/>
    </row>
    <row r="458" spans="1:17" s="15" customFormat="1" ht="18" customHeight="1" x14ac:dyDescent="0.2">
      <c r="A458" s="43" t="s">
        <v>1327</v>
      </c>
      <c r="B458" s="46" t="s">
        <v>43</v>
      </c>
      <c r="C458" s="44"/>
      <c r="D458" s="47"/>
      <c r="E458" s="46"/>
      <c r="F458" s="35"/>
      <c r="G458" s="40"/>
      <c r="H458" s="35"/>
      <c r="I458" s="35"/>
      <c r="J458" s="36"/>
      <c r="K458" s="48"/>
      <c r="L458" s="48"/>
      <c r="M458" s="38"/>
      <c r="N458" s="48"/>
      <c r="O458" s="35"/>
      <c r="P458" s="35"/>
      <c r="Q458" s="35"/>
    </row>
    <row r="459" spans="1:17" s="15" customFormat="1" ht="26.25" customHeight="1" x14ac:dyDescent="0.2">
      <c r="A459" s="43" t="s">
        <v>1338</v>
      </c>
      <c r="B459" s="46" t="s">
        <v>46</v>
      </c>
      <c r="C459" s="44" t="s">
        <v>1341</v>
      </c>
      <c r="D459" s="47" t="s">
        <v>1342</v>
      </c>
      <c r="E459" s="46" t="s">
        <v>512</v>
      </c>
      <c r="F459" s="35">
        <f>20000*3</f>
        <v>60000</v>
      </c>
      <c r="G459" s="40">
        <v>49000</v>
      </c>
      <c r="H459" s="35">
        <f>20000*3</f>
        <v>60000</v>
      </c>
      <c r="I459" s="35">
        <f>G459+H459</f>
        <v>109000</v>
      </c>
      <c r="J459" s="36">
        <f>IF(G459=0,100%,(I459-G459)/G459)</f>
        <v>1.2244897959183674</v>
      </c>
      <c r="K459" s="48" t="s">
        <v>37</v>
      </c>
      <c r="L459" s="48" t="s">
        <v>37</v>
      </c>
      <c r="M459" s="38">
        <v>41455</v>
      </c>
      <c r="N459" s="48" t="s">
        <v>64</v>
      </c>
      <c r="O459" s="35">
        <v>20000</v>
      </c>
      <c r="P459" s="35">
        <v>20000</v>
      </c>
      <c r="Q459" s="35">
        <v>20000</v>
      </c>
    </row>
    <row r="460" spans="1:17" s="15" customFormat="1" ht="26.25" customHeight="1" x14ac:dyDescent="0.2">
      <c r="A460" s="43" t="s">
        <v>1339</v>
      </c>
      <c r="B460" s="46" t="s">
        <v>26</v>
      </c>
      <c r="C460" s="44" t="s">
        <v>25</v>
      </c>
      <c r="D460" s="47" t="s">
        <v>41</v>
      </c>
      <c r="E460" s="46" t="s">
        <v>1343</v>
      </c>
      <c r="F460" s="35">
        <v>25000</v>
      </c>
      <c r="G460" s="40">
        <v>15000</v>
      </c>
      <c r="H460" s="35">
        <f>30000+25000</f>
        <v>55000</v>
      </c>
      <c r="I460" s="35">
        <f>G460+H460</f>
        <v>70000</v>
      </c>
      <c r="J460" s="36">
        <f>IF(G460=0,100%,(I460-G460)/G460)</f>
        <v>3.6666666666666665</v>
      </c>
      <c r="K460" s="48" t="s">
        <v>37</v>
      </c>
      <c r="L460" s="48" t="s">
        <v>37</v>
      </c>
      <c r="M460" s="38">
        <v>41455</v>
      </c>
      <c r="N460" s="48" t="s">
        <v>36</v>
      </c>
      <c r="O460" s="35">
        <v>25000</v>
      </c>
      <c r="P460" s="35"/>
      <c r="Q460" s="35"/>
    </row>
    <row r="461" spans="1:17" s="15" customFormat="1" ht="26.25" customHeight="1" x14ac:dyDescent="0.2">
      <c r="A461" s="43" t="s">
        <v>1340</v>
      </c>
      <c r="B461" s="46" t="s">
        <v>46</v>
      </c>
      <c r="C461" s="44" t="s">
        <v>1000</v>
      </c>
      <c r="D461" s="47">
        <v>6062</v>
      </c>
      <c r="E461" s="46" t="s">
        <v>1003</v>
      </c>
      <c r="F461" s="35">
        <v>15000</v>
      </c>
      <c r="G461" s="40">
        <v>40000</v>
      </c>
      <c r="H461" s="35">
        <f>30000+15000</f>
        <v>45000</v>
      </c>
      <c r="I461" s="35">
        <f>G461+H461</f>
        <v>85000</v>
      </c>
      <c r="J461" s="36">
        <f>IF(G461=0,100%,(I461-G461)/G461)</f>
        <v>1.125</v>
      </c>
      <c r="K461" s="48" t="s">
        <v>37</v>
      </c>
      <c r="L461" s="48" t="s">
        <v>37</v>
      </c>
      <c r="M461" s="38">
        <v>41455</v>
      </c>
      <c r="N461" s="48" t="s">
        <v>36</v>
      </c>
      <c r="O461" s="35">
        <v>15000</v>
      </c>
      <c r="P461" s="35"/>
      <c r="Q461" s="35"/>
    </row>
    <row r="462" spans="1:17" s="15" customFormat="1" ht="26.25" customHeight="1" x14ac:dyDescent="0.2">
      <c r="A462" s="43" t="s">
        <v>1344</v>
      </c>
      <c r="B462" s="46" t="s">
        <v>1223</v>
      </c>
      <c r="C462" s="44" t="s">
        <v>1225</v>
      </c>
      <c r="D462" s="47">
        <v>5993</v>
      </c>
      <c r="E462" s="46" t="s">
        <v>1354</v>
      </c>
      <c r="F462" s="35">
        <v>17855</v>
      </c>
      <c r="G462" s="40">
        <v>17855</v>
      </c>
      <c r="H462" s="35">
        <v>0</v>
      </c>
      <c r="I462" s="35">
        <f t="shared" ref="I462:I467" si="86">G462+H462</f>
        <v>17855</v>
      </c>
      <c r="J462" s="36">
        <f t="shared" ref="J462:J467" si="87">IF(G462=0,100%,(I462-G462)/G462)</f>
        <v>0</v>
      </c>
      <c r="K462" s="48" t="s">
        <v>37</v>
      </c>
      <c r="L462" s="48" t="s">
        <v>42</v>
      </c>
      <c r="M462" s="38">
        <v>42551</v>
      </c>
      <c r="N462" s="48"/>
      <c r="O462" s="35">
        <v>17855</v>
      </c>
      <c r="P462" s="35"/>
      <c r="Q462" s="35"/>
    </row>
    <row r="463" spans="1:17" s="15" customFormat="1" ht="26.25" customHeight="1" x14ac:dyDescent="0.2">
      <c r="A463" s="43" t="s">
        <v>1345</v>
      </c>
      <c r="B463" s="46" t="s">
        <v>49</v>
      </c>
      <c r="C463" s="44" t="s">
        <v>1350</v>
      </c>
      <c r="D463" s="47">
        <v>6021</v>
      </c>
      <c r="E463" s="46" t="s">
        <v>1355</v>
      </c>
      <c r="F463" s="35">
        <v>25000</v>
      </c>
      <c r="G463" s="40">
        <v>25000</v>
      </c>
      <c r="H463" s="35">
        <v>0</v>
      </c>
      <c r="I463" s="35">
        <f t="shared" si="86"/>
        <v>25000</v>
      </c>
      <c r="J463" s="36">
        <f t="shared" si="87"/>
        <v>0</v>
      </c>
      <c r="K463" s="48" t="s">
        <v>37</v>
      </c>
      <c r="L463" s="48" t="s">
        <v>37</v>
      </c>
      <c r="M463" s="38">
        <v>41547</v>
      </c>
      <c r="N463" s="48"/>
      <c r="O463" s="35">
        <v>25000</v>
      </c>
      <c r="P463" s="35"/>
      <c r="Q463" s="35"/>
    </row>
    <row r="464" spans="1:17" s="15" customFormat="1" ht="26.25" customHeight="1" x14ac:dyDescent="0.2">
      <c r="A464" s="43" t="s">
        <v>1346</v>
      </c>
      <c r="B464" s="46" t="s">
        <v>39</v>
      </c>
      <c r="C464" s="44" t="s">
        <v>1351</v>
      </c>
      <c r="D464" s="47">
        <v>6058</v>
      </c>
      <c r="E464" s="46" t="s">
        <v>1356</v>
      </c>
      <c r="F464" s="35">
        <v>7417</v>
      </c>
      <c r="G464" s="40">
        <v>7417</v>
      </c>
      <c r="H464" s="35">
        <v>0</v>
      </c>
      <c r="I464" s="35">
        <f t="shared" si="86"/>
        <v>7417</v>
      </c>
      <c r="J464" s="36">
        <f t="shared" si="87"/>
        <v>0</v>
      </c>
      <c r="K464" s="48" t="s">
        <v>37</v>
      </c>
      <c r="L464" s="48" t="s">
        <v>37</v>
      </c>
      <c r="M464" s="38">
        <v>41772</v>
      </c>
      <c r="N464" s="48"/>
      <c r="O464" s="35">
        <v>7417</v>
      </c>
      <c r="P464" s="35"/>
      <c r="Q464" s="35"/>
    </row>
    <row r="465" spans="1:17" s="15" customFormat="1" ht="26.25" customHeight="1" x14ac:dyDescent="0.2">
      <c r="A465" s="43" t="s">
        <v>1347</v>
      </c>
      <c r="B465" s="46" t="s">
        <v>48</v>
      </c>
      <c r="C465" s="44" t="s">
        <v>1352</v>
      </c>
      <c r="D465" s="47">
        <v>6067</v>
      </c>
      <c r="E465" s="46" t="s">
        <v>1357</v>
      </c>
      <c r="F465" s="35">
        <v>5710</v>
      </c>
      <c r="G465" s="40">
        <v>5710</v>
      </c>
      <c r="H465" s="35">
        <v>0</v>
      </c>
      <c r="I465" s="35">
        <f t="shared" si="86"/>
        <v>5710</v>
      </c>
      <c r="J465" s="36">
        <f t="shared" si="87"/>
        <v>0</v>
      </c>
      <c r="K465" s="48" t="s">
        <v>37</v>
      </c>
      <c r="L465" s="48" t="s">
        <v>42</v>
      </c>
      <c r="M465" s="38">
        <v>41455</v>
      </c>
      <c r="N465" s="48"/>
      <c r="O465" s="35">
        <v>5710</v>
      </c>
      <c r="P465" s="35"/>
      <c r="Q465" s="35"/>
    </row>
    <row r="466" spans="1:17" s="15" customFormat="1" ht="38.25" customHeight="1" x14ac:dyDescent="0.2">
      <c r="A466" s="43" t="s">
        <v>1348</v>
      </c>
      <c r="B466" s="46" t="s">
        <v>1349</v>
      </c>
      <c r="C466" s="44" t="s">
        <v>1353</v>
      </c>
      <c r="D466" s="47">
        <v>6176</v>
      </c>
      <c r="E466" s="46" t="s">
        <v>1358</v>
      </c>
      <c r="F466" s="35">
        <v>10000</v>
      </c>
      <c r="G466" s="40">
        <v>10000</v>
      </c>
      <c r="H466" s="35">
        <v>0</v>
      </c>
      <c r="I466" s="35">
        <f t="shared" si="86"/>
        <v>10000</v>
      </c>
      <c r="J466" s="36">
        <f t="shared" si="87"/>
        <v>0</v>
      </c>
      <c r="K466" s="48" t="s">
        <v>37</v>
      </c>
      <c r="L466" s="48" t="s">
        <v>37</v>
      </c>
      <c r="M466" s="38">
        <v>41425</v>
      </c>
      <c r="N466" s="48"/>
      <c r="O466" s="35">
        <v>10000</v>
      </c>
      <c r="P466" s="35"/>
      <c r="Q466" s="35"/>
    </row>
    <row r="467" spans="1:17" s="15" customFormat="1" ht="38.25" customHeight="1" x14ac:dyDescent="0.2">
      <c r="A467" s="43" t="s">
        <v>1359</v>
      </c>
      <c r="B467" s="46" t="s">
        <v>1361</v>
      </c>
      <c r="C467" s="44" t="s">
        <v>1362</v>
      </c>
      <c r="D467" s="47">
        <v>6180</v>
      </c>
      <c r="E467" s="46" t="s">
        <v>1364</v>
      </c>
      <c r="F467" s="35">
        <v>46000</v>
      </c>
      <c r="G467" s="40">
        <v>46000</v>
      </c>
      <c r="H467" s="35">
        <v>0</v>
      </c>
      <c r="I467" s="35">
        <f t="shared" si="86"/>
        <v>46000</v>
      </c>
      <c r="J467" s="36">
        <f t="shared" si="87"/>
        <v>0</v>
      </c>
      <c r="K467" s="48" t="s">
        <v>37</v>
      </c>
      <c r="L467" s="48" t="s">
        <v>37</v>
      </c>
      <c r="M467" s="38">
        <v>41639</v>
      </c>
      <c r="N467" s="48"/>
      <c r="O467" s="35">
        <v>46000</v>
      </c>
      <c r="P467" s="35"/>
      <c r="Q467" s="35"/>
    </row>
    <row r="468" spans="1:17" s="15" customFormat="1" ht="26.25" customHeight="1" x14ac:dyDescent="0.2">
      <c r="A468" s="43" t="s">
        <v>1360</v>
      </c>
      <c r="B468" s="46" t="s">
        <v>39</v>
      </c>
      <c r="C468" s="44" t="s">
        <v>1039</v>
      </c>
      <c r="D468" s="34">
        <v>6194</v>
      </c>
      <c r="E468" s="46" t="s">
        <v>1363</v>
      </c>
      <c r="F468" s="35">
        <f>22969*3</f>
        <v>68907</v>
      </c>
      <c r="G468" s="40">
        <f>22969*3</f>
        <v>68907</v>
      </c>
      <c r="H468" s="35">
        <v>0</v>
      </c>
      <c r="I468" s="35">
        <f t="shared" ref="I468:I475" si="88">G468+H468</f>
        <v>68907</v>
      </c>
      <c r="J468" s="36">
        <f t="shared" ref="J468:J475" si="89">IF(G468=0,100%,(I468-G468)/G468)</f>
        <v>0</v>
      </c>
      <c r="K468" s="48" t="s">
        <v>37</v>
      </c>
      <c r="L468" s="48" t="s">
        <v>37</v>
      </c>
      <c r="M468" s="38">
        <v>41790</v>
      </c>
      <c r="N468" s="48" t="s">
        <v>64</v>
      </c>
      <c r="O468" s="49">
        <v>22969</v>
      </c>
      <c r="P468" s="35">
        <v>22969</v>
      </c>
      <c r="Q468" s="35">
        <v>22969</v>
      </c>
    </row>
    <row r="469" spans="1:17" s="15" customFormat="1" ht="26.25" customHeight="1" x14ac:dyDescent="0.2">
      <c r="A469" s="43" t="s">
        <v>1365</v>
      </c>
      <c r="B469" s="46" t="s">
        <v>40</v>
      </c>
      <c r="C469" s="44" t="s">
        <v>621</v>
      </c>
      <c r="D469" s="47" t="s">
        <v>41</v>
      </c>
      <c r="E469" s="46" t="s">
        <v>1370</v>
      </c>
      <c r="F469" s="35">
        <v>92000</v>
      </c>
      <c r="G469" s="40">
        <v>92000</v>
      </c>
      <c r="H469" s="35">
        <v>0</v>
      </c>
      <c r="I469" s="35">
        <f t="shared" si="88"/>
        <v>92000</v>
      </c>
      <c r="J469" s="36">
        <f t="shared" si="89"/>
        <v>0</v>
      </c>
      <c r="K469" s="48" t="s">
        <v>37</v>
      </c>
      <c r="L469" s="48" t="s">
        <v>37</v>
      </c>
      <c r="M469" s="38">
        <v>41455</v>
      </c>
      <c r="N469" s="48"/>
      <c r="O469" s="49">
        <v>92000</v>
      </c>
      <c r="P469" s="35"/>
      <c r="Q469" s="35"/>
    </row>
    <row r="470" spans="1:17" s="15" customFormat="1" ht="26.25" customHeight="1" x14ac:dyDescent="0.2">
      <c r="A470" s="43" t="s">
        <v>1366</v>
      </c>
      <c r="B470" s="46" t="s">
        <v>17</v>
      </c>
      <c r="C470" s="44" t="s">
        <v>1368</v>
      </c>
      <c r="D470" s="34">
        <v>6171</v>
      </c>
      <c r="E470" s="46" t="s">
        <v>1371</v>
      </c>
      <c r="F470" s="35">
        <v>77754</v>
      </c>
      <c r="G470" s="40">
        <v>77754</v>
      </c>
      <c r="H470" s="35">
        <v>0</v>
      </c>
      <c r="I470" s="35">
        <f t="shared" si="88"/>
        <v>77754</v>
      </c>
      <c r="J470" s="36">
        <f t="shared" si="89"/>
        <v>0</v>
      </c>
      <c r="K470" s="48" t="s">
        <v>37</v>
      </c>
      <c r="L470" s="48" t="s">
        <v>42</v>
      </c>
      <c r="M470" s="38">
        <v>41517</v>
      </c>
      <c r="N470" s="48"/>
      <c r="O470" s="49">
        <v>77754</v>
      </c>
      <c r="P470" s="35"/>
      <c r="Q470" s="35"/>
    </row>
    <row r="471" spans="1:17" s="15" customFormat="1" ht="38.25" customHeight="1" x14ac:dyDescent="0.2">
      <c r="A471" s="43" t="s">
        <v>1367</v>
      </c>
      <c r="B471" s="46" t="s">
        <v>39</v>
      </c>
      <c r="C471" s="44" t="s">
        <v>1369</v>
      </c>
      <c r="D471" s="34">
        <v>6223</v>
      </c>
      <c r="E471" s="46" t="s">
        <v>1372</v>
      </c>
      <c r="F471" s="35">
        <v>99500</v>
      </c>
      <c r="G471" s="40">
        <v>99500</v>
      </c>
      <c r="H471" s="35">
        <v>0</v>
      </c>
      <c r="I471" s="35">
        <f t="shared" si="88"/>
        <v>99500</v>
      </c>
      <c r="J471" s="36">
        <f t="shared" si="89"/>
        <v>0</v>
      </c>
      <c r="K471" s="48" t="s">
        <v>37</v>
      </c>
      <c r="L471" s="48" t="s">
        <v>42</v>
      </c>
      <c r="M471" s="38">
        <v>41790</v>
      </c>
      <c r="N471" s="48"/>
      <c r="O471" s="49">
        <v>99500</v>
      </c>
      <c r="P471" s="35"/>
      <c r="Q471" s="35"/>
    </row>
    <row r="472" spans="1:17" s="15" customFormat="1" ht="26.25" customHeight="1" x14ac:dyDescent="0.2">
      <c r="A472" s="43" t="s">
        <v>1373</v>
      </c>
      <c r="B472" s="46" t="s">
        <v>20</v>
      </c>
      <c r="C472" s="44" t="s">
        <v>1303</v>
      </c>
      <c r="D472" s="47" t="s">
        <v>1380</v>
      </c>
      <c r="E472" s="46" t="s">
        <v>1382</v>
      </c>
      <c r="F472" s="35">
        <f>8000*3</f>
        <v>24000</v>
      </c>
      <c r="G472" s="40">
        <v>25000</v>
      </c>
      <c r="H472" s="35">
        <f>6000+8000*3</f>
        <v>30000</v>
      </c>
      <c r="I472" s="35">
        <f t="shared" si="88"/>
        <v>55000</v>
      </c>
      <c r="J472" s="36">
        <f t="shared" si="89"/>
        <v>1.2</v>
      </c>
      <c r="K472" s="48" t="s">
        <v>37</v>
      </c>
      <c r="L472" s="48" t="s">
        <v>37</v>
      </c>
      <c r="M472" s="52">
        <v>41455</v>
      </c>
      <c r="N472" s="48" t="s">
        <v>64</v>
      </c>
      <c r="O472" s="49">
        <v>8000</v>
      </c>
      <c r="P472" s="35">
        <v>8000</v>
      </c>
      <c r="Q472" s="35">
        <v>8000</v>
      </c>
    </row>
    <row r="473" spans="1:17" s="15" customFormat="1" ht="26.25" customHeight="1" x14ac:dyDescent="0.2">
      <c r="A473" s="43" t="s">
        <v>1374</v>
      </c>
      <c r="B473" s="46" t="s">
        <v>39</v>
      </c>
      <c r="C473" s="44" t="s">
        <v>1377</v>
      </c>
      <c r="D473" s="34">
        <v>6207</v>
      </c>
      <c r="E473" s="46" t="s">
        <v>1383</v>
      </c>
      <c r="F473" s="35">
        <v>30000</v>
      </c>
      <c r="G473" s="40">
        <v>30000</v>
      </c>
      <c r="H473" s="35">
        <v>0</v>
      </c>
      <c r="I473" s="35">
        <f t="shared" si="88"/>
        <v>30000</v>
      </c>
      <c r="J473" s="36">
        <f t="shared" si="89"/>
        <v>0</v>
      </c>
      <c r="K473" s="48" t="s">
        <v>37</v>
      </c>
      <c r="L473" s="48" t="s">
        <v>37</v>
      </c>
      <c r="M473" s="38">
        <v>41783</v>
      </c>
      <c r="N473" s="48"/>
      <c r="O473" s="49">
        <v>30000</v>
      </c>
      <c r="P473" s="35"/>
      <c r="Q473" s="35"/>
    </row>
    <row r="474" spans="1:17" s="15" customFormat="1" ht="26.25" customHeight="1" x14ac:dyDescent="0.2">
      <c r="A474" s="43" t="s">
        <v>1375</v>
      </c>
      <c r="B474" s="46" t="s">
        <v>1128</v>
      </c>
      <c r="C474" s="44" t="s">
        <v>1378</v>
      </c>
      <c r="D474" s="47" t="s">
        <v>1381</v>
      </c>
      <c r="E474" s="46" t="s">
        <v>1384</v>
      </c>
      <c r="F474" s="35">
        <v>13915</v>
      </c>
      <c r="G474" s="40">
        <v>13915</v>
      </c>
      <c r="H474" s="35">
        <v>0</v>
      </c>
      <c r="I474" s="35">
        <f t="shared" si="88"/>
        <v>13915</v>
      </c>
      <c r="J474" s="36">
        <f t="shared" si="89"/>
        <v>0</v>
      </c>
      <c r="K474" s="48" t="s">
        <v>37</v>
      </c>
      <c r="L474" s="48" t="s">
        <v>37</v>
      </c>
      <c r="M474" s="38">
        <v>41455</v>
      </c>
      <c r="N474" s="48"/>
      <c r="O474" s="49">
        <v>13915</v>
      </c>
      <c r="P474" s="35"/>
      <c r="Q474" s="35"/>
    </row>
    <row r="475" spans="1:17" s="15" customFormat="1" ht="38.25" customHeight="1" x14ac:dyDescent="0.2">
      <c r="A475" s="43" t="s">
        <v>1376</v>
      </c>
      <c r="B475" s="46" t="s">
        <v>75</v>
      </c>
      <c r="C475" s="44" t="s">
        <v>1379</v>
      </c>
      <c r="D475" s="34">
        <v>5948</v>
      </c>
      <c r="E475" s="46" t="s">
        <v>1385</v>
      </c>
      <c r="F475" s="35">
        <v>24000</v>
      </c>
      <c r="G475" s="40">
        <v>24000</v>
      </c>
      <c r="H475" s="35">
        <v>0</v>
      </c>
      <c r="I475" s="35">
        <f t="shared" si="88"/>
        <v>24000</v>
      </c>
      <c r="J475" s="36">
        <f t="shared" si="89"/>
        <v>0</v>
      </c>
      <c r="K475" s="48" t="s">
        <v>37</v>
      </c>
      <c r="L475" s="48" t="s">
        <v>42</v>
      </c>
      <c r="M475" s="38">
        <v>41820</v>
      </c>
      <c r="N475" s="48"/>
      <c r="O475" s="49">
        <v>24000</v>
      </c>
      <c r="P475" s="35"/>
      <c r="Q475" s="35"/>
    </row>
    <row r="476" spans="1:17" s="15" customFormat="1" ht="26.25" customHeight="1" x14ac:dyDescent="0.2">
      <c r="A476" s="43" t="s">
        <v>1386</v>
      </c>
      <c r="B476" s="46" t="s">
        <v>66</v>
      </c>
      <c r="C476" s="44" t="s">
        <v>1393</v>
      </c>
      <c r="D476" s="34">
        <v>5985</v>
      </c>
      <c r="E476" s="46" t="s">
        <v>1402</v>
      </c>
      <c r="F476" s="35">
        <f>15312*3</f>
        <v>45936</v>
      </c>
      <c r="G476" s="40">
        <f>15312*3</f>
        <v>45936</v>
      </c>
      <c r="H476" s="35">
        <v>0</v>
      </c>
      <c r="I476" s="35">
        <f t="shared" ref="I476:I481" si="90">G476+H476</f>
        <v>45936</v>
      </c>
      <c r="J476" s="36">
        <f t="shared" ref="J476:J481" si="91">IF(G476=0,100%,(I476-G476)/G476)</f>
        <v>0</v>
      </c>
      <c r="K476" s="48" t="s">
        <v>37</v>
      </c>
      <c r="L476" s="48" t="s">
        <v>37</v>
      </c>
      <c r="M476" s="38">
        <v>41820</v>
      </c>
      <c r="N476" s="48" t="s">
        <v>64</v>
      </c>
      <c r="O476" s="49">
        <v>15312</v>
      </c>
      <c r="P476" s="35">
        <v>15312</v>
      </c>
      <c r="Q476" s="35">
        <v>15312</v>
      </c>
    </row>
    <row r="477" spans="1:17" s="15" customFormat="1" ht="26.25" customHeight="1" x14ac:dyDescent="0.2">
      <c r="A477" s="43" t="s">
        <v>1387</v>
      </c>
      <c r="B477" s="46" t="s">
        <v>18</v>
      </c>
      <c r="C477" s="44" t="s">
        <v>1394</v>
      </c>
      <c r="D477" s="47" t="s">
        <v>1399</v>
      </c>
      <c r="E477" s="46" t="s">
        <v>1403</v>
      </c>
      <c r="F477" s="35">
        <v>15000</v>
      </c>
      <c r="G477" s="40">
        <v>5000</v>
      </c>
      <c r="H477" s="35">
        <v>15000</v>
      </c>
      <c r="I477" s="35">
        <f t="shared" si="90"/>
        <v>20000</v>
      </c>
      <c r="J477" s="36">
        <f t="shared" si="91"/>
        <v>3</v>
      </c>
      <c r="K477" s="48" t="s">
        <v>37</v>
      </c>
      <c r="L477" s="48" t="s">
        <v>37</v>
      </c>
      <c r="M477" s="52" t="s">
        <v>69</v>
      </c>
      <c r="N477" s="48" t="s">
        <v>36</v>
      </c>
      <c r="O477" s="49">
        <v>15000</v>
      </c>
      <c r="P477" s="35"/>
      <c r="Q477" s="35"/>
    </row>
    <row r="478" spans="1:17" s="15" customFormat="1" ht="38.25" customHeight="1" x14ac:dyDescent="0.2">
      <c r="A478" s="43" t="s">
        <v>1388</v>
      </c>
      <c r="B478" s="46" t="s">
        <v>49</v>
      </c>
      <c r="C478" s="44" t="s">
        <v>1395</v>
      </c>
      <c r="D478" s="47">
        <v>6192</v>
      </c>
      <c r="E478" s="46" t="s">
        <v>1404</v>
      </c>
      <c r="F478" s="35">
        <f>45000*3</f>
        <v>135000</v>
      </c>
      <c r="G478" s="40">
        <f>45000*3</f>
        <v>135000</v>
      </c>
      <c r="H478" s="35">
        <v>0</v>
      </c>
      <c r="I478" s="35">
        <f t="shared" si="90"/>
        <v>135000</v>
      </c>
      <c r="J478" s="36">
        <f t="shared" si="91"/>
        <v>0</v>
      </c>
      <c r="K478" s="48" t="s">
        <v>37</v>
      </c>
      <c r="L478" s="48" t="s">
        <v>42</v>
      </c>
      <c r="M478" s="38">
        <v>41820</v>
      </c>
      <c r="N478" s="48" t="s">
        <v>64</v>
      </c>
      <c r="O478" s="35">
        <v>45000</v>
      </c>
      <c r="P478" s="35">
        <v>45000</v>
      </c>
      <c r="Q478" s="35">
        <v>45000</v>
      </c>
    </row>
    <row r="479" spans="1:17" s="15" customFormat="1" ht="26.25" customHeight="1" x14ac:dyDescent="0.2">
      <c r="A479" s="43" t="s">
        <v>1389</v>
      </c>
      <c r="B479" s="46" t="s">
        <v>18</v>
      </c>
      <c r="C479" s="44" t="s">
        <v>1396</v>
      </c>
      <c r="D479" s="47" t="s">
        <v>1400</v>
      </c>
      <c r="E479" s="46" t="s">
        <v>1405</v>
      </c>
      <c r="F479" s="35">
        <v>20000</v>
      </c>
      <c r="G479" s="40">
        <v>5000</v>
      </c>
      <c r="H479" s="35">
        <v>20000</v>
      </c>
      <c r="I479" s="35">
        <f t="shared" si="90"/>
        <v>25000</v>
      </c>
      <c r="J479" s="36">
        <f t="shared" si="91"/>
        <v>4</v>
      </c>
      <c r="K479" s="48" t="s">
        <v>37</v>
      </c>
      <c r="L479" s="48" t="s">
        <v>37</v>
      </c>
      <c r="M479" s="52" t="s">
        <v>69</v>
      </c>
      <c r="N479" s="48" t="s">
        <v>36</v>
      </c>
      <c r="O479" s="35">
        <v>20000</v>
      </c>
      <c r="P479" s="35"/>
      <c r="Q479" s="35"/>
    </row>
    <row r="480" spans="1:17" s="15" customFormat="1" ht="26.25" customHeight="1" x14ac:dyDescent="0.2">
      <c r="A480" s="43" t="s">
        <v>1390</v>
      </c>
      <c r="B480" s="46" t="s">
        <v>49</v>
      </c>
      <c r="C480" s="44" t="s">
        <v>1397</v>
      </c>
      <c r="D480" s="47">
        <v>6246</v>
      </c>
      <c r="E480" s="46" t="s">
        <v>1406</v>
      </c>
      <c r="F480" s="35">
        <f>7022*2</f>
        <v>14044</v>
      </c>
      <c r="G480" s="40">
        <f>7022*2</f>
        <v>14044</v>
      </c>
      <c r="H480" s="35">
        <v>0</v>
      </c>
      <c r="I480" s="35">
        <f t="shared" si="90"/>
        <v>14044</v>
      </c>
      <c r="J480" s="36">
        <f t="shared" si="91"/>
        <v>0</v>
      </c>
      <c r="K480" s="48" t="s">
        <v>37</v>
      </c>
      <c r="L480" s="48" t="s">
        <v>37</v>
      </c>
      <c r="M480" s="38">
        <v>41820</v>
      </c>
      <c r="N480" s="48" t="s">
        <v>64</v>
      </c>
      <c r="O480" s="35">
        <v>7022</v>
      </c>
      <c r="P480" s="35">
        <v>7022</v>
      </c>
      <c r="Q480" s="35"/>
    </row>
    <row r="481" spans="1:17" s="15" customFormat="1" ht="38.25" customHeight="1" x14ac:dyDescent="0.2">
      <c r="A481" s="43" t="s">
        <v>1391</v>
      </c>
      <c r="B481" s="46" t="s">
        <v>66</v>
      </c>
      <c r="C481" s="44" t="s">
        <v>1093</v>
      </c>
      <c r="D481" s="47">
        <v>6252</v>
      </c>
      <c r="E481" s="46" t="s">
        <v>1407</v>
      </c>
      <c r="F481" s="35">
        <v>15699</v>
      </c>
      <c r="G481" s="40">
        <v>15699</v>
      </c>
      <c r="H481" s="35">
        <v>0</v>
      </c>
      <c r="I481" s="35">
        <f t="shared" si="90"/>
        <v>15699</v>
      </c>
      <c r="J481" s="36">
        <f t="shared" si="91"/>
        <v>0</v>
      </c>
      <c r="K481" s="48" t="s">
        <v>37</v>
      </c>
      <c r="L481" s="48" t="s">
        <v>42</v>
      </c>
      <c r="M481" s="38">
        <v>43272</v>
      </c>
      <c r="N481" s="48"/>
      <c r="O481" s="35">
        <v>15699</v>
      </c>
      <c r="P481" s="35"/>
      <c r="Q481" s="35"/>
    </row>
    <row r="482" spans="1:17" s="15" customFormat="1" ht="26.25" customHeight="1" x14ac:dyDescent="0.2">
      <c r="A482" s="43" t="s">
        <v>1392</v>
      </c>
      <c r="B482" s="46" t="s">
        <v>48</v>
      </c>
      <c r="C482" s="44" t="s">
        <v>1398</v>
      </c>
      <c r="D482" s="34">
        <v>6283</v>
      </c>
      <c r="E482" s="46" t="s">
        <v>1408</v>
      </c>
      <c r="F482" s="35">
        <v>16200</v>
      </c>
      <c r="G482" s="40">
        <v>16200</v>
      </c>
      <c r="H482" s="35">
        <v>0</v>
      </c>
      <c r="I482" s="35">
        <f>G482+H482</f>
        <v>16200</v>
      </c>
      <c r="J482" s="36">
        <f>IF(G482=0,100%,(I482-G482)/G482)</f>
        <v>0</v>
      </c>
      <c r="K482" s="48" t="s">
        <v>37</v>
      </c>
      <c r="L482" s="48" t="s">
        <v>37</v>
      </c>
      <c r="M482" s="38">
        <v>41639</v>
      </c>
      <c r="N482" s="48"/>
      <c r="O482" s="35">
        <v>16200</v>
      </c>
      <c r="P482" s="35"/>
      <c r="Q482" s="35"/>
    </row>
    <row r="483" spans="1:17" s="15" customFormat="1" ht="26.25" customHeight="1" x14ac:dyDescent="0.2">
      <c r="A483" s="43" t="s">
        <v>1409</v>
      </c>
      <c r="B483" s="46" t="s">
        <v>50</v>
      </c>
      <c r="C483" s="44" t="s">
        <v>59</v>
      </c>
      <c r="D483" s="34">
        <v>6353</v>
      </c>
      <c r="E483" s="46" t="s">
        <v>1414</v>
      </c>
      <c r="F483" s="35">
        <v>74400</v>
      </c>
      <c r="G483" s="40">
        <v>74400</v>
      </c>
      <c r="H483" s="35">
        <v>0</v>
      </c>
      <c r="I483" s="35">
        <f>G483+H483</f>
        <v>74400</v>
      </c>
      <c r="J483" s="36">
        <f>IF(G483=0,100%,(I483-G483)/G483)</f>
        <v>0</v>
      </c>
      <c r="K483" s="48" t="s">
        <v>37</v>
      </c>
      <c r="L483" s="48" t="s">
        <v>37</v>
      </c>
      <c r="M483" s="38">
        <v>41820</v>
      </c>
      <c r="N483" s="48"/>
      <c r="O483" s="35">
        <v>74400</v>
      </c>
      <c r="P483" s="35"/>
      <c r="Q483" s="35"/>
    </row>
    <row r="484" spans="1:17" s="15" customFormat="1" ht="26.25" customHeight="1" x14ac:dyDescent="0.2">
      <c r="A484" s="43" t="s">
        <v>1410</v>
      </c>
      <c r="B484" s="46" t="s">
        <v>66</v>
      </c>
      <c r="C484" s="44" t="s">
        <v>974</v>
      </c>
      <c r="D484" s="34">
        <v>6149</v>
      </c>
      <c r="E484" s="46" t="s">
        <v>1417</v>
      </c>
      <c r="F484" s="35">
        <f>74010*3</f>
        <v>222030</v>
      </c>
      <c r="G484" s="40">
        <f>74010*3</f>
        <v>222030</v>
      </c>
      <c r="H484" s="35">
        <v>0</v>
      </c>
      <c r="I484" s="35">
        <f t="shared" ref="I484:I490" si="92">G484+H484</f>
        <v>222030</v>
      </c>
      <c r="J484" s="36">
        <f t="shared" ref="J484:J490" si="93">IF(G484=0,100%,(I484-G484)/G484)</f>
        <v>0</v>
      </c>
      <c r="K484" s="48" t="s">
        <v>37</v>
      </c>
      <c r="L484" s="48" t="s">
        <v>42</v>
      </c>
      <c r="M484" s="38">
        <v>41790</v>
      </c>
      <c r="N484" s="48" t="s">
        <v>64</v>
      </c>
      <c r="O484" s="35">
        <v>74010</v>
      </c>
      <c r="P484" s="35">
        <v>74010</v>
      </c>
      <c r="Q484" s="35">
        <v>74010</v>
      </c>
    </row>
    <row r="485" spans="1:17" s="15" customFormat="1" ht="26.25" customHeight="1" x14ac:dyDescent="0.2">
      <c r="A485" s="43" t="s">
        <v>1411</v>
      </c>
      <c r="B485" s="46" t="s">
        <v>76</v>
      </c>
      <c r="C485" s="44" t="s">
        <v>1413</v>
      </c>
      <c r="D485" s="34">
        <v>6295</v>
      </c>
      <c r="E485" s="46" t="s">
        <v>1416</v>
      </c>
      <c r="F485" s="35">
        <v>99500</v>
      </c>
      <c r="G485" s="40">
        <v>99500</v>
      </c>
      <c r="H485" s="35">
        <v>0</v>
      </c>
      <c r="I485" s="35">
        <f t="shared" si="92"/>
        <v>99500</v>
      </c>
      <c r="J485" s="36">
        <f t="shared" si="93"/>
        <v>0</v>
      </c>
      <c r="K485" s="48" t="s">
        <v>37</v>
      </c>
      <c r="L485" s="48" t="s">
        <v>37</v>
      </c>
      <c r="M485" s="38">
        <v>41547</v>
      </c>
      <c r="N485" s="48"/>
      <c r="O485" s="35">
        <v>99500</v>
      </c>
      <c r="P485" s="35"/>
      <c r="Q485" s="35"/>
    </row>
    <row r="486" spans="1:17" s="15" customFormat="1" ht="26.25" customHeight="1" x14ac:dyDescent="0.2">
      <c r="A486" s="43" t="s">
        <v>1412</v>
      </c>
      <c r="B486" s="46" t="s">
        <v>39</v>
      </c>
      <c r="C486" s="44" t="s">
        <v>230</v>
      </c>
      <c r="D486" s="34">
        <v>6305</v>
      </c>
      <c r="E486" s="46" t="s">
        <v>1415</v>
      </c>
      <c r="F486" s="35">
        <f>75714*3</f>
        <v>227142</v>
      </c>
      <c r="G486" s="40">
        <f>75714*3</f>
        <v>227142</v>
      </c>
      <c r="H486" s="35">
        <v>0</v>
      </c>
      <c r="I486" s="35">
        <f t="shared" si="92"/>
        <v>227142</v>
      </c>
      <c r="J486" s="36">
        <f t="shared" si="93"/>
        <v>0</v>
      </c>
      <c r="K486" s="48" t="s">
        <v>37</v>
      </c>
      <c r="L486" s="48" t="s">
        <v>37</v>
      </c>
      <c r="M486" s="38">
        <v>41846</v>
      </c>
      <c r="N486" s="48" t="s">
        <v>64</v>
      </c>
      <c r="O486" s="35">
        <v>75714</v>
      </c>
      <c r="P486" s="35">
        <v>75714</v>
      </c>
      <c r="Q486" s="35">
        <v>75714</v>
      </c>
    </row>
    <row r="487" spans="1:17" s="15" customFormat="1" ht="38.25" customHeight="1" x14ac:dyDescent="0.2">
      <c r="A487" s="43" t="s">
        <v>1418</v>
      </c>
      <c r="B487" s="46" t="s">
        <v>50</v>
      </c>
      <c r="C487" s="44" t="s">
        <v>1421</v>
      </c>
      <c r="D487" s="47" t="s">
        <v>41</v>
      </c>
      <c r="E487" s="46" t="s">
        <v>1424</v>
      </c>
      <c r="F487" s="35">
        <v>31780</v>
      </c>
      <c r="G487" s="40">
        <v>31780</v>
      </c>
      <c r="H487" s="35">
        <v>0</v>
      </c>
      <c r="I487" s="35">
        <f t="shared" si="92"/>
        <v>31780</v>
      </c>
      <c r="J487" s="36">
        <f t="shared" si="93"/>
        <v>0</v>
      </c>
      <c r="K487" s="48" t="s">
        <v>37</v>
      </c>
      <c r="L487" s="48" t="s">
        <v>37</v>
      </c>
      <c r="M487" s="38">
        <v>41458</v>
      </c>
      <c r="N487" s="48"/>
      <c r="O487" s="35">
        <v>31780</v>
      </c>
      <c r="P487" s="35"/>
      <c r="Q487" s="35"/>
    </row>
    <row r="488" spans="1:17" s="15" customFormat="1" ht="38.25" customHeight="1" x14ac:dyDescent="0.2">
      <c r="A488" s="43" t="s">
        <v>1419</v>
      </c>
      <c r="B488" s="46" t="s">
        <v>50</v>
      </c>
      <c r="C488" s="44" t="s">
        <v>1422</v>
      </c>
      <c r="D488" s="47" t="s">
        <v>41</v>
      </c>
      <c r="E488" s="46" t="s">
        <v>1425</v>
      </c>
      <c r="F488" s="35">
        <v>45400</v>
      </c>
      <c r="G488" s="40">
        <v>45000</v>
      </c>
      <c r="H488" s="35">
        <v>0</v>
      </c>
      <c r="I488" s="35">
        <f t="shared" si="92"/>
        <v>45000</v>
      </c>
      <c r="J488" s="36">
        <f t="shared" si="93"/>
        <v>0</v>
      </c>
      <c r="K488" s="48" t="s">
        <v>37</v>
      </c>
      <c r="L488" s="48" t="s">
        <v>37</v>
      </c>
      <c r="M488" s="38">
        <v>41458</v>
      </c>
      <c r="N488" s="48"/>
      <c r="O488" s="35">
        <v>45400</v>
      </c>
      <c r="P488" s="35"/>
      <c r="Q488" s="35"/>
    </row>
    <row r="489" spans="1:17" s="15" customFormat="1" ht="38.25" customHeight="1" x14ac:dyDescent="0.2">
      <c r="A489" s="43" t="s">
        <v>1420</v>
      </c>
      <c r="B489" s="46" t="s">
        <v>50</v>
      </c>
      <c r="C489" s="44" t="s">
        <v>1423</v>
      </c>
      <c r="D489" s="47" t="s">
        <v>41</v>
      </c>
      <c r="E489" s="46" t="s">
        <v>1426</v>
      </c>
      <c r="F489" s="35">
        <v>31000</v>
      </c>
      <c r="G489" s="40">
        <v>31000</v>
      </c>
      <c r="H489" s="35">
        <v>0</v>
      </c>
      <c r="I489" s="35">
        <f t="shared" si="92"/>
        <v>31000</v>
      </c>
      <c r="J489" s="36">
        <f t="shared" si="93"/>
        <v>0</v>
      </c>
      <c r="K489" s="48" t="s">
        <v>37</v>
      </c>
      <c r="L489" s="48" t="s">
        <v>37</v>
      </c>
      <c r="M489" s="38">
        <v>41458</v>
      </c>
      <c r="N489" s="48"/>
      <c r="O489" s="35">
        <v>31000</v>
      </c>
      <c r="P489" s="35"/>
      <c r="Q489" s="35"/>
    </row>
    <row r="490" spans="1:17" s="15" customFormat="1" ht="26.25" customHeight="1" x14ac:dyDescent="0.2">
      <c r="A490" s="43" t="s">
        <v>1427</v>
      </c>
      <c r="B490" s="46" t="s">
        <v>18</v>
      </c>
      <c r="C490" s="44" t="s">
        <v>1429</v>
      </c>
      <c r="D490" s="47" t="s">
        <v>41</v>
      </c>
      <c r="E490" s="46" t="s">
        <v>1431</v>
      </c>
      <c r="F490" s="35">
        <v>99000</v>
      </c>
      <c r="G490" s="40">
        <v>95000</v>
      </c>
      <c r="H490" s="35">
        <f>215000+99000</f>
        <v>314000</v>
      </c>
      <c r="I490" s="35">
        <f t="shared" si="92"/>
        <v>409000</v>
      </c>
      <c r="J490" s="36">
        <f t="shared" si="93"/>
        <v>3.3052631578947369</v>
      </c>
      <c r="K490" s="48" t="s">
        <v>37</v>
      </c>
      <c r="L490" s="48" t="s">
        <v>37</v>
      </c>
      <c r="M490" s="52" t="s">
        <v>69</v>
      </c>
      <c r="N490" s="48" t="s">
        <v>36</v>
      </c>
      <c r="O490" s="35">
        <v>99000</v>
      </c>
      <c r="P490" s="35"/>
      <c r="Q490" s="35"/>
    </row>
    <row r="491" spans="1:17" s="15" customFormat="1" ht="38.25" customHeight="1" x14ac:dyDescent="0.2">
      <c r="A491" s="43" t="s">
        <v>1428</v>
      </c>
      <c r="B491" s="46" t="s">
        <v>46</v>
      </c>
      <c r="C491" s="44" t="s">
        <v>1430</v>
      </c>
      <c r="D491" s="47" t="s">
        <v>41</v>
      </c>
      <c r="E491" s="46" t="s">
        <v>1432</v>
      </c>
      <c r="F491" s="35">
        <v>60000</v>
      </c>
      <c r="G491" s="40">
        <v>60000</v>
      </c>
      <c r="H491" s="35">
        <v>0</v>
      </c>
      <c r="I491" s="35">
        <f>G491+H491</f>
        <v>60000</v>
      </c>
      <c r="J491" s="36">
        <f>IF(G491=0,100%,(I491-G491)/G491)</f>
        <v>0</v>
      </c>
      <c r="K491" s="48" t="s">
        <v>37</v>
      </c>
      <c r="L491" s="48" t="s">
        <v>37</v>
      </c>
      <c r="M491" s="38">
        <v>41577</v>
      </c>
      <c r="N491" s="48"/>
      <c r="O491" s="35">
        <v>60000</v>
      </c>
      <c r="P491" s="35"/>
      <c r="Q491" s="35"/>
    </row>
    <row r="492" spans="1:17" s="15" customFormat="1" ht="26.25" customHeight="1" x14ac:dyDescent="0.2">
      <c r="A492" s="43"/>
      <c r="B492" s="46"/>
      <c r="C492" s="44"/>
      <c r="D492" s="34"/>
      <c r="E492" s="46"/>
      <c r="F492" s="35"/>
      <c r="G492" s="40"/>
      <c r="H492" s="35"/>
      <c r="I492" s="35"/>
      <c r="J492" s="36"/>
      <c r="K492" s="37"/>
      <c r="L492" s="37"/>
      <c r="M492" s="38"/>
      <c r="N492" s="37"/>
      <c r="O492" s="35"/>
      <c r="P492" s="35"/>
      <c r="Q492" s="35"/>
    </row>
    <row r="493" spans="1:17" s="20" customFormat="1" ht="26.25" customHeight="1" x14ac:dyDescent="0.2">
      <c r="A493" s="14"/>
      <c r="B493" s="27"/>
      <c r="C493" s="33"/>
      <c r="D493" s="33"/>
      <c r="E493" s="11" t="s">
        <v>4</v>
      </c>
      <c r="F493" s="26">
        <f>SUM(F2:F492)</f>
        <v>27975411</v>
      </c>
      <c r="G493" s="26">
        <f>SUM(G2:G492)</f>
        <v>30462952</v>
      </c>
      <c r="H493" s="26">
        <f>SUM(H2:H492)</f>
        <v>4262600</v>
      </c>
      <c r="I493" s="26">
        <f>SUM(I2:I492)</f>
        <v>34725552</v>
      </c>
      <c r="J493" s="16"/>
      <c r="K493" s="17"/>
      <c r="L493" s="17"/>
      <c r="M493" s="18"/>
      <c r="N493" s="17"/>
      <c r="O493" s="26">
        <f>SUM(O2:O492)</f>
        <v>16426838</v>
      </c>
      <c r="P493" s="26">
        <f>SUM(P2:P492)</f>
        <v>5859074</v>
      </c>
      <c r="Q493" s="26">
        <f>SUM(Q2:Q492)</f>
        <v>5689499</v>
      </c>
    </row>
    <row r="494" spans="1:17" s="20" customFormat="1" ht="15" x14ac:dyDescent="0.2">
      <c r="A494" s="21"/>
      <c r="B494" s="22"/>
      <c r="C494" s="23"/>
      <c r="D494" s="23"/>
      <c r="E494" s="22"/>
      <c r="F494" s="19"/>
      <c r="G494" s="19"/>
      <c r="H494" s="19"/>
      <c r="J494" s="24"/>
      <c r="K494" s="25"/>
      <c r="L494" s="25"/>
      <c r="N494" s="25"/>
    </row>
    <row r="495" spans="1:17" ht="15" x14ac:dyDescent="0.2">
      <c r="A495" s="30"/>
      <c r="B495" s="31"/>
      <c r="C495" s="4"/>
      <c r="F495" s="19"/>
      <c r="G495" s="19"/>
      <c r="H495" s="19"/>
      <c r="I495" s="20"/>
      <c r="P495" s="28"/>
    </row>
    <row r="496" spans="1:17" x14ac:dyDescent="0.2">
      <c r="C496" s="4"/>
    </row>
    <row r="497" spans="3:16" x14ac:dyDescent="0.2">
      <c r="C497" s="4"/>
      <c r="P497" s="28"/>
    </row>
    <row r="498" spans="3:16" x14ac:dyDescent="0.2">
      <c r="C498" s="4"/>
    </row>
    <row r="499" spans="3:16" x14ac:dyDescent="0.2">
      <c r="C499" s="4"/>
      <c r="G499" s="32"/>
      <c r="P499" s="29"/>
    </row>
    <row r="500" spans="3:16" x14ac:dyDescent="0.2">
      <c r="C500" s="4"/>
    </row>
    <row r="501" spans="3:16" x14ac:dyDescent="0.2">
      <c r="C501" s="4"/>
    </row>
    <row r="502" spans="3:16" x14ac:dyDescent="0.2">
      <c r="C502" s="4"/>
    </row>
    <row r="503" spans="3:16" x14ac:dyDescent="0.2">
      <c r="C503" s="4"/>
    </row>
    <row r="504" spans="3:16" x14ac:dyDescent="0.2">
      <c r="C504" s="4"/>
    </row>
    <row r="505" spans="3:16" x14ac:dyDescent="0.2">
      <c r="C505" s="4"/>
    </row>
    <row r="506" spans="3:16" x14ac:dyDescent="0.2">
      <c r="C506" s="4"/>
    </row>
    <row r="507" spans="3:16" x14ac:dyDescent="0.2">
      <c r="C507" s="4"/>
    </row>
    <row r="508" spans="3:16" x14ac:dyDescent="0.2">
      <c r="C508" s="4"/>
    </row>
    <row r="509" spans="3:16" x14ac:dyDescent="0.2">
      <c r="C509" s="4"/>
    </row>
    <row r="510" spans="3:16" x14ac:dyDescent="0.2">
      <c r="C510" s="4"/>
    </row>
    <row r="511" spans="3:16" x14ac:dyDescent="0.2">
      <c r="C511" s="4"/>
    </row>
    <row r="512" spans="3:16" x14ac:dyDescent="0.2">
      <c r="C512" s="4"/>
    </row>
    <row r="513" spans="3:3" x14ac:dyDescent="0.2">
      <c r="C513" s="4"/>
    </row>
    <row r="514" spans="3:3" x14ac:dyDescent="0.2">
      <c r="C514" s="4"/>
    </row>
    <row r="515" spans="3:3" x14ac:dyDescent="0.2">
      <c r="C515" s="4"/>
    </row>
    <row r="516" spans="3:3" x14ac:dyDescent="0.2">
      <c r="C516" s="4"/>
    </row>
    <row r="517" spans="3:3" x14ac:dyDescent="0.2">
      <c r="C517" s="4"/>
    </row>
    <row r="518" spans="3:3" x14ac:dyDescent="0.2">
      <c r="C518" s="4"/>
    </row>
    <row r="519" spans="3:3" x14ac:dyDescent="0.2">
      <c r="C519" s="4"/>
    </row>
    <row r="520" spans="3:3" x14ac:dyDescent="0.2">
      <c r="C520" s="4"/>
    </row>
    <row r="521" spans="3:3" x14ac:dyDescent="0.2">
      <c r="C521" s="4"/>
    </row>
    <row r="522" spans="3:3" x14ac:dyDescent="0.2">
      <c r="C522" s="4"/>
    </row>
    <row r="523" spans="3:3" x14ac:dyDescent="0.2">
      <c r="C523" s="4"/>
    </row>
    <row r="524" spans="3:3" x14ac:dyDescent="0.2">
      <c r="C524" s="4"/>
    </row>
    <row r="525" spans="3:3" x14ac:dyDescent="0.2">
      <c r="C525" s="4"/>
    </row>
    <row r="526" spans="3:3" x14ac:dyDescent="0.2">
      <c r="C526" s="4"/>
    </row>
    <row r="527" spans="3:3" x14ac:dyDescent="0.2">
      <c r="C527" s="4"/>
    </row>
    <row r="528" spans="3:3" x14ac:dyDescent="0.2">
      <c r="C528" s="4"/>
    </row>
    <row r="529" spans="3:3" x14ac:dyDescent="0.2">
      <c r="C529" s="4"/>
    </row>
    <row r="530" spans="3:3" x14ac:dyDescent="0.2">
      <c r="C530" s="4"/>
    </row>
    <row r="531" spans="3:3" x14ac:dyDescent="0.2">
      <c r="C531" s="4"/>
    </row>
    <row r="532" spans="3:3" x14ac:dyDescent="0.2">
      <c r="C532" s="4"/>
    </row>
    <row r="533" spans="3:3" x14ac:dyDescent="0.2">
      <c r="C533" s="4"/>
    </row>
    <row r="534" spans="3:3" x14ac:dyDescent="0.2">
      <c r="C534" s="4"/>
    </row>
    <row r="535" spans="3:3" x14ac:dyDescent="0.2">
      <c r="C535" s="4"/>
    </row>
    <row r="536" spans="3:3" x14ac:dyDescent="0.2">
      <c r="C536" s="4"/>
    </row>
    <row r="537" spans="3:3" x14ac:dyDescent="0.2">
      <c r="C537" s="4"/>
    </row>
    <row r="538" spans="3:3" x14ac:dyDescent="0.2">
      <c r="C538" s="4"/>
    </row>
    <row r="539" spans="3:3" x14ac:dyDescent="0.2">
      <c r="C539" s="4"/>
    </row>
    <row r="540" spans="3:3" x14ac:dyDescent="0.2">
      <c r="C540" s="4"/>
    </row>
    <row r="541" spans="3:3" x14ac:dyDescent="0.2">
      <c r="C541" s="4"/>
    </row>
    <row r="542" spans="3:3" x14ac:dyDescent="0.2">
      <c r="C542" s="4"/>
    </row>
    <row r="543" spans="3:3" x14ac:dyDescent="0.2">
      <c r="C543" s="4"/>
    </row>
    <row r="544" spans="3:3" x14ac:dyDescent="0.2">
      <c r="C544" s="4"/>
    </row>
    <row r="545" spans="3:3" x14ac:dyDescent="0.2">
      <c r="C545" s="4"/>
    </row>
    <row r="546" spans="3:3" x14ac:dyDescent="0.2">
      <c r="C546" s="4"/>
    </row>
    <row r="547" spans="3:3" x14ac:dyDescent="0.2">
      <c r="C547" s="4"/>
    </row>
    <row r="548" spans="3:3" x14ac:dyDescent="0.2">
      <c r="C548" s="4"/>
    </row>
    <row r="549" spans="3:3" x14ac:dyDescent="0.2">
      <c r="C549" s="4"/>
    </row>
  </sheetData>
  <phoneticPr fontId="0" type="noConversion"/>
  <printOptions horizontalCentered="1"/>
  <pageMargins left="0.25" right="0.25" top="0.85" bottom="0.25" header="0.26" footer="0.31"/>
  <pageSetup paperSize="5" scale="65" orientation="landscape" r:id="rId1"/>
  <headerFooter alignWithMargins="0">
    <oddHeader>&amp;C&amp;"Arial,Bold"&amp;11 1153 FY2013
SUMMARY REPORT
BY REPORT NUMBER
As of June 30, 2013&amp;RRun Date: &amp;D      &amp;T     
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9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8.7109375" style="12" customWidth="1"/>
    <col min="2" max="2" width="25.7109375" style="2" customWidth="1"/>
    <col min="3" max="3" width="22.85546875" customWidth="1"/>
    <col min="4" max="4" width="12.7109375" style="4" customWidth="1"/>
    <col min="5" max="5" width="58.42578125" style="2" customWidth="1"/>
    <col min="6" max="8" width="11.7109375" style="3" customWidth="1"/>
    <col min="9" max="9" width="11.5703125" customWidth="1"/>
    <col min="10" max="10" width="10.28515625" style="5" customWidth="1"/>
    <col min="11" max="11" width="6.28515625" style="1" customWidth="1"/>
    <col min="12" max="12" width="6.5703125" style="1" customWidth="1"/>
    <col min="13" max="13" width="10.5703125" customWidth="1"/>
    <col min="14" max="14" width="5.7109375" style="1" customWidth="1"/>
    <col min="15" max="15" width="12.42578125" customWidth="1"/>
    <col min="16" max="16" width="11.85546875" customWidth="1"/>
    <col min="17" max="17" width="11" customWidth="1"/>
  </cols>
  <sheetData>
    <row r="1" spans="1:17" ht="24" x14ac:dyDescent="0.2">
      <c r="A1" s="13" t="s">
        <v>0</v>
      </c>
      <c r="B1" s="10" t="s">
        <v>6</v>
      </c>
      <c r="C1" s="10" t="s">
        <v>7</v>
      </c>
      <c r="D1" s="10" t="s">
        <v>13</v>
      </c>
      <c r="E1" s="10" t="s">
        <v>8</v>
      </c>
      <c r="F1" s="6" t="s">
        <v>9</v>
      </c>
      <c r="G1" s="6" t="s">
        <v>10</v>
      </c>
      <c r="H1" s="7" t="s">
        <v>1</v>
      </c>
      <c r="I1" s="8" t="s">
        <v>11</v>
      </c>
      <c r="J1" s="9" t="s">
        <v>2</v>
      </c>
      <c r="K1" s="10" t="s">
        <v>16</v>
      </c>
      <c r="L1" s="10" t="s">
        <v>12</v>
      </c>
      <c r="M1" s="8" t="s">
        <v>3</v>
      </c>
      <c r="N1" s="8" t="s">
        <v>5</v>
      </c>
      <c r="O1" s="8" t="s">
        <v>14</v>
      </c>
      <c r="P1" s="8" t="s">
        <v>15</v>
      </c>
      <c r="Q1" s="8" t="s">
        <v>105</v>
      </c>
    </row>
    <row r="2" spans="1:17" ht="26.25" customHeight="1" x14ac:dyDescent="0.2">
      <c r="A2" s="43" t="s">
        <v>145</v>
      </c>
      <c r="B2" s="46" t="s">
        <v>20</v>
      </c>
      <c r="C2" s="44" t="s">
        <v>203</v>
      </c>
      <c r="D2" s="34">
        <v>3791</v>
      </c>
      <c r="E2" s="46" t="s">
        <v>174</v>
      </c>
      <c r="F2" s="35">
        <f>12000*3</f>
        <v>36000</v>
      </c>
      <c r="G2" s="40">
        <f>12000*3</f>
        <v>36000</v>
      </c>
      <c r="H2" s="35">
        <v>0</v>
      </c>
      <c r="I2" s="35">
        <f t="shared" ref="I2:I65" si="0">G2+H2</f>
        <v>36000</v>
      </c>
      <c r="J2" s="36">
        <f t="shared" ref="J2:J65" si="1">IF(G2=0,100%,(I2-G2)/G2)</f>
        <v>0</v>
      </c>
      <c r="K2" s="48" t="s">
        <v>37</v>
      </c>
      <c r="L2" s="48" t="s">
        <v>37</v>
      </c>
      <c r="M2" s="38">
        <v>41455</v>
      </c>
      <c r="N2" s="48" t="s">
        <v>64</v>
      </c>
      <c r="O2" s="41">
        <v>12000</v>
      </c>
      <c r="P2" s="41">
        <v>12000</v>
      </c>
      <c r="Q2" s="41">
        <v>12000</v>
      </c>
    </row>
    <row r="3" spans="1:17" s="15" customFormat="1" ht="26.25" customHeight="1" x14ac:dyDescent="0.2">
      <c r="A3" s="43" t="s">
        <v>146</v>
      </c>
      <c r="B3" s="46" t="s">
        <v>20</v>
      </c>
      <c r="C3" s="44" t="s">
        <v>204</v>
      </c>
      <c r="D3" s="47">
        <v>3793</v>
      </c>
      <c r="E3" s="46" t="s">
        <v>175</v>
      </c>
      <c r="F3" s="35">
        <f>35000*3</f>
        <v>105000</v>
      </c>
      <c r="G3" s="40">
        <f>35000*3</f>
        <v>105000</v>
      </c>
      <c r="H3" s="35">
        <v>0</v>
      </c>
      <c r="I3" s="35">
        <f t="shared" si="0"/>
        <v>105000</v>
      </c>
      <c r="J3" s="36">
        <f t="shared" si="1"/>
        <v>0</v>
      </c>
      <c r="K3" s="48" t="s">
        <v>37</v>
      </c>
      <c r="L3" s="48" t="s">
        <v>37</v>
      </c>
      <c r="M3" s="38">
        <v>41455</v>
      </c>
      <c r="N3" s="48" t="s">
        <v>64</v>
      </c>
      <c r="O3" s="41">
        <v>35000</v>
      </c>
      <c r="P3" s="41">
        <v>35000</v>
      </c>
      <c r="Q3" s="41">
        <v>35000</v>
      </c>
    </row>
    <row r="4" spans="1:17" s="15" customFormat="1" ht="18" customHeight="1" x14ac:dyDescent="0.2">
      <c r="A4" s="43" t="s">
        <v>147</v>
      </c>
      <c r="B4" s="46" t="s">
        <v>20</v>
      </c>
      <c r="C4" s="44" t="s">
        <v>205</v>
      </c>
      <c r="D4" s="47">
        <v>3798</v>
      </c>
      <c r="E4" s="46" t="s">
        <v>176</v>
      </c>
      <c r="F4" s="35">
        <f>7000*3</f>
        <v>21000</v>
      </c>
      <c r="G4" s="40">
        <f>7000*3</f>
        <v>21000</v>
      </c>
      <c r="H4" s="35">
        <v>0</v>
      </c>
      <c r="I4" s="35">
        <f t="shared" si="0"/>
        <v>21000</v>
      </c>
      <c r="J4" s="36">
        <f t="shared" si="1"/>
        <v>0</v>
      </c>
      <c r="K4" s="48" t="s">
        <v>37</v>
      </c>
      <c r="L4" s="48" t="s">
        <v>37</v>
      </c>
      <c r="M4" s="38">
        <v>41455</v>
      </c>
      <c r="N4" s="48" t="s">
        <v>64</v>
      </c>
      <c r="O4" s="41">
        <v>7000</v>
      </c>
      <c r="P4" s="41">
        <v>7000</v>
      </c>
      <c r="Q4" s="41">
        <v>7000</v>
      </c>
    </row>
    <row r="5" spans="1:17" s="15" customFormat="1" ht="26.25" customHeight="1" x14ac:dyDescent="0.2">
      <c r="A5" s="43" t="s">
        <v>148</v>
      </c>
      <c r="B5" s="46" t="s">
        <v>20</v>
      </c>
      <c r="C5" s="44" t="s">
        <v>122</v>
      </c>
      <c r="D5" s="47">
        <v>3799</v>
      </c>
      <c r="E5" s="46" t="s">
        <v>177</v>
      </c>
      <c r="F5" s="35">
        <f>35000*3</f>
        <v>105000</v>
      </c>
      <c r="G5" s="40">
        <f>35000*3</f>
        <v>105000</v>
      </c>
      <c r="H5" s="35">
        <v>0</v>
      </c>
      <c r="I5" s="35">
        <f t="shared" si="0"/>
        <v>105000</v>
      </c>
      <c r="J5" s="36">
        <f t="shared" si="1"/>
        <v>0</v>
      </c>
      <c r="K5" s="48" t="s">
        <v>37</v>
      </c>
      <c r="L5" s="48" t="s">
        <v>37</v>
      </c>
      <c r="M5" s="38">
        <v>41455</v>
      </c>
      <c r="N5" s="48" t="s">
        <v>64</v>
      </c>
      <c r="O5" s="41">
        <v>35000</v>
      </c>
      <c r="P5" s="41">
        <v>35000</v>
      </c>
      <c r="Q5" s="41">
        <v>35000</v>
      </c>
    </row>
    <row r="6" spans="1:17" s="15" customFormat="1" ht="26.25" customHeight="1" x14ac:dyDescent="0.2">
      <c r="A6" s="43" t="s">
        <v>153</v>
      </c>
      <c r="B6" s="46" t="s">
        <v>20</v>
      </c>
      <c r="C6" s="44" t="s">
        <v>122</v>
      </c>
      <c r="D6" s="47">
        <v>3928</v>
      </c>
      <c r="E6" s="46" t="s">
        <v>181</v>
      </c>
      <c r="F6" s="35">
        <f>12000*3</f>
        <v>36000</v>
      </c>
      <c r="G6" s="40">
        <f>12000*3</f>
        <v>36000</v>
      </c>
      <c r="H6" s="35">
        <v>0</v>
      </c>
      <c r="I6" s="35">
        <f t="shared" si="0"/>
        <v>36000</v>
      </c>
      <c r="J6" s="36">
        <f t="shared" si="1"/>
        <v>0</v>
      </c>
      <c r="K6" s="48" t="s">
        <v>37</v>
      </c>
      <c r="L6" s="48" t="s">
        <v>37</v>
      </c>
      <c r="M6" s="38">
        <v>41455</v>
      </c>
      <c r="N6" s="48" t="s">
        <v>64</v>
      </c>
      <c r="O6" s="41">
        <v>12000</v>
      </c>
      <c r="P6" s="41">
        <v>12000</v>
      </c>
      <c r="Q6" s="41">
        <v>12000</v>
      </c>
    </row>
    <row r="7" spans="1:17" s="15" customFormat="1" ht="26.25" customHeight="1" x14ac:dyDescent="0.2">
      <c r="A7" s="43" t="s">
        <v>172</v>
      </c>
      <c r="B7" s="46" t="s">
        <v>20</v>
      </c>
      <c r="C7" s="44" t="s">
        <v>216</v>
      </c>
      <c r="D7" s="34">
        <v>4164</v>
      </c>
      <c r="E7" s="46" t="s">
        <v>200</v>
      </c>
      <c r="F7" s="35">
        <f>20000*3</f>
        <v>60000</v>
      </c>
      <c r="G7" s="40">
        <f>20000*3</f>
        <v>60000</v>
      </c>
      <c r="H7" s="35">
        <v>0</v>
      </c>
      <c r="I7" s="35">
        <f t="shared" si="0"/>
        <v>60000</v>
      </c>
      <c r="J7" s="36">
        <f t="shared" si="1"/>
        <v>0</v>
      </c>
      <c r="K7" s="48" t="s">
        <v>37</v>
      </c>
      <c r="L7" s="48" t="s">
        <v>37</v>
      </c>
      <c r="M7" s="38">
        <v>41455</v>
      </c>
      <c r="N7" s="48" t="s">
        <v>64</v>
      </c>
      <c r="O7" s="41">
        <v>20000</v>
      </c>
      <c r="P7" s="41">
        <v>20000</v>
      </c>
      <c r="Q7" s="41">
        <v>20000</v>
      </c>
    </row>
    <row r="8" spans="1:17" s="15" customFormat="1" ht="38.25" customHeight="1" x14ac:dyDescent="0.2">
      <c r="A8" s="43" t="s">
        <v>225</v>
      </c>
      <c r="B8" s="46" t="s">
        <v>20</v>
      </c>
      <c r="C8" s="44" t="s">
        <v>681</v>
      </c>
      <c r="D8" s="34">
        <v>4232</v>
      </c>
      <c r="E8" s="59" t="s">
        <v>243</v>
      </c>
      <c r="F8" s="35">
        <f>37400*2</f>
        <v>74800</v>
      </c>
      <c r="G8" s="40">
        <f>37400*2</f>
        <v>74800</v>
      </c>
      <c r="H8" s="35">
        <v>0</v>
      </c>
      <c r="I8" s="35">
        <f t="shared" si="0"/>
        <v>74800</v>
      </c>
      <c r="J8" s="36">
        <f t="shared" si="1"/>
        <v>0</v>
      </c>
      <c r="K8" s="48" t="s">
        <v>37</v>
      </c>
      <c r="L8" s="48" t="s">
        <v>37</v>
      </c>
      <c r="M8" s="38">
        <v>41418</v>
      </c>
      <c r="N8" s="48"/>
      <c r="O8" s="41">
        <f>37400*2</f>
        <v>74800</v>
      </c>
      <c r="P8" s="41"/>
      <c r="Q8" s="41"/>
    </row>
    <row r="9" spans="1:17" s="15" customFormat="1" ht="26.25" customHeight="1" x14ac:dyDescent="0.2">
      <c r="A9" s="43" t="s">
        <v>442</v>
      </c>
      <c r="B9" s="46" t="s">
        <v>20</v>
      </c>
      <c r="C9" s="44" t="s">
        <v>456</v>
      </c>
      <c r="D9" s="47">
        <v>4325</v>
      </c>
      <c r="E9" s="46" t="s">
        <v>468</v>
      </c>
      <c r="F9" s="35">
        <f>12290*3</f>
        <v>36870</v>
      </c>
      <c r="G9" s="40">
        <f>12290*3</f>
        <v>36870</v>
      </c>
      <c r="H9" s="35">
        <v>0</v>
      </c>
      <c r="I9" s="35">
        <f t="shared" si="0"/>
        <v>36870</v>
      </c>
      <c r="J9" s="36">
        <f t="shared" si="1"/>
        <v>0</v>
      </c>
      <c r="K9" s="48" t="s">
        <v>37</v>
      </c>
      <c r="L9" s="48" t="s">
        <v>37</v>
      </c>
      <c r="M9" s="38">
        <v>41455</v>
      </c>
      <c r="N9" s="48" t="s">
        <v>64</v>
      </c>
      <c r="O9" s="41">
        <v>12290</v>
      </c>
      <c r="P9" s="41">
        <v>12290</v>
      </c>
      <c r="Q9" s="41">
        <v>12290</v>
      </c>
    </row>
    <row r="10" spans="1:17" s="15" customFormat="1" ht="26.25" customHeight="1" x14ac:dyDescent="0.2">
      <c r="A10" s="43" t="s">
        <v>532</v>
      </c>
      <c r="B10" s="46" t="s">
        <v>20</v>
      </c>
      <c r="C10" s="44" t="s">
        <v>103</v>
      </c>
      <c r="D10" s="47">
        <v>4461</v>
      </c>
      <c r="E10" s="46" t="s">
        <v>563</v>
      </c>
      <c r="F10" s="35">
        <f>25000*3</f>
        <v>75000</v>
      </c>
      <c r="G10" s="40">
        <f>25000*3</f>
        <v>75000</v>
      </c>
      <c r="H10" s="35">
        <v>0</v>
      </c>
      <c r="I10" s="35">
        <f t="shared" si="0"/>
        <v>75000</v>
      </c>
      <c r="J10" s="36">
        <f t="shared" si="1"/>
        <v>0</v>
      </c>
      <c r="K10" s="48" t="s">
        <v>37</v>
      </c>
      <c r="L10" s="48" t="s">
        <v>37</v>
      </c>
      <c r="M10" s="38">
        <v>41455</v>
      </c>
      <c r="N10" s="48" t="s">
        <v>64</v>
      </c>
      <c r="O10" s="41">
        <v>25000</v>
      </c>
      <c r="P10" s="41">
        <v>25000</v>
      </c>
      <c r="Q10" s="41">
        <v>25000</v>
      </c>
    </row>
    <row r="11" spans="1:17" s="15" customFormat="1" ht="26.25" customHeight="1" x14ac:dyDescent="0.2">
      <c r="A11" s="43" t="s">
        <v>737</v>
      </c>
      <c r="B11" s="46" t="s">
        <v>20</v>
      </c>
      <c r="C11" s="44" t="s">
        <v>103</v>
      </c>
      <c r="D11" s="34">
        <v>4461</v>
      </c>
      <c r="E11" s="46" t="s">
        <v>748</v>
      </c>
      <c r="F11" s="35">
        <v>6500</v>
      </c>
      <c r="G11" s="40">
        <v>6500</v>
      </c>
      <c r="H11" s="35">
        <v>0</v>
      </c>
      <c r="I11" s="35">
        <f t="shared" si="0"/>
        <v>6500</v>
      </c>
      <c r="J11" s="36">
        <f t="shared" si="1"/>
        <v>0</v>
      </c>
      <c r="K11" s="48" t="s">
        <v>37</v>
      </c>
      <c r="L11" s="48" t="s">
        <v>37</v>
      </c>
      <c r="M11" s="38">
        <v>41455</v>
      </c>
      <c r="N11" s="37"/>
      <c r="O11" s="35">
        <v>6500</v>
      </c>
      <c r="P11" s="35"/>
      <c r="Q11" s="35"/>
    </row>
    <row r="12" spans="1:17" s="15" customFormat="1" ht="18" customHeight="1" x14ac:dyDescent="0.2">
      <c r="A12" s="43" t="s">
        <v>893</v>
      </c>
      <c r="B12" s="46" t="s">
        <v>20</v>
      </c>
      <c r="C12" s="44" t="s">
        <v>904</v>
      </c>
      <c r="D12" s="34">
        <v>5040</v>
      </c>
      <c r="E12" s="46" t="s">
        <v>909</v>
      </c>
      <c r="F12" s="35">
        <f>23000*3</f>
        <v>69000</v>
      </c>
      <c r="G12" s="40">
        <f>23000*3</f>
        <v>69000</v>
      </c>
      <c r="H12" s="35">
        <v>0</v>
      </c>
      <c r="I12" s="35">
        <f t="shared" si="0"/>
        <v>69000</v>
      </c>
      <c r="J12" s="36">
        <f t="shared" si="1"/>
        <v>0</v>
      </c>
      <c r="K12" s="48" t="s">
        <v>37</v>
      </c>
      <c r="L12" s="48" t="s">
        <v>42</v>
      </c>
      <c r="M12" s="38">
        <v>41609</v>
      </c>
      <c r="N12" s="48" t="s">
        <v>64</v>
      </c>
      <c r="O12" s="35">
        <v>23000</v>
      </c>
      <c r="P12" s="35">
        <v>23000</v>
      </c>
      <c r="Q12" s="35">
        <v>23000</v>
      </c>
    </row>
    <row r="13" spans="1:17" s="15" customFormat="1" ht="26.25" customHeight="1" x14ac:dyDescent="0.2">
      <c r="A13" s="43" t="s">
        <v>982</v>
      </c>
      <c r="B13" s="46" t="s">
        <v>20</v>
      </c>
      <c r="C13" s="44" t="s">
        <v>103</v>
      </c>
      <c r="D13" s="34">
        <v>5062</v>
      </c>
      <c r="E13" s="46" t="s">
        <v>563</v>
      </c>
      <c r="F13" s="35">
        <f>22000*3</f>
        <v>66000</v>
      </c>
      <c r="G13" s="40">
        <v>25000</v>
      </c>
      <c r="H13" s="35">
        <f>22000*3</f>
        <v>66000</v>
      </c>
      <c r="I13" s="35">
        <f t="shared" si="0"/>
        <v>91000</v>
      </c>
      <c r="J13" s="36">
        <f t="shared" si="1"/>
        <v>2.64</v>
      </c>
      <c r="K13" s="48" t="s">
        <v>37</v>
      </c>
      <c r="L13" s="48" t="s">
        <v>37</v>
      </c>
      <c r="M13" s="38">
        <v>41455</v>
      </c>
      <c r="N13" s="48" t="s">
        <v>64</v>
      </c>
      <c r="O13" s="35">
        <v>22000</v>
      </c>
      <c r="P13" s="35">
        <v>22000</v>
      </c>
      <c r="Q13" s="35">
        <v>22000</v>
      </c>
    </row>
    <row r="14" spans="1:17" s="15" customFormat="1" ht="26.25" customHeight="1" x14ac:dyDescent="0.2">
      <c r="A14" s="43" t="s">
        <v>1048</v>
      </c>
      <c r="B14" s="46" t="s">
        <v>20</v>
      </c>
      <c r="C14" s="44" t="s">
        <v>1053</v>
      </c>
      <c r="D14" s="34">
        <v>5185</v>
      </c>
      <c r="E14" s="46" t="s">
        <v>200</v>
      </c>
      <c r="F14" s="35">
        <f>20000*3</f>
        <v>60000</v>
      </c>
      <c r="G14" s="40">
        <f>20000</f>
        <v>20000</v>
      </c>
      <c r="H14" s="35">
        <f>20000*3</f>
        <v>60000</v>
      </c>
      <c r="I14" s="35">
        <f t="shared" si="0"/>
        <v>80000</v>
      </c>
      <c r="J14" s="36">
        <f t="shared" si="1"/>
        <v>3</v>
      </c>
      <c r="K14" s="48" t="s">
        <v>37</v>
      </c>
      <c r="L14" s="48" t="s">
        <v>37</v>
      </c>
      <c r="M14" s="38">
        <v>41455</v>
      </c>
      <c r="N14" s="48" t="s">
        <v>64</v>
      </c>
      <c r="O14" s="35">
        <v>20000</v>
      </c>
      <c r="P14" s="35">
        <v>20000</v>
      </c>
      <c r="Q14" s="35">
        <v>20000</v>
      </c>
    </row>
    <row r="15" spans="1:17" s="15" customFormat="1" ht="26.25" customHeight="1" x14ac:dyDescent="0.2">
      <c r="A15" s="43" t="s">
        <v>1192</v>
      </c>
      <c r="B15" s="46" t="s">
        <v>20</v>
      </c>
      <c r="C15" s="44" t="s">
        <v>1197</v>
      </c>
      <c r="D15" s="34">
        <v>3836</v>
      </c>
      <c r="E15" s="46" t="s">
        <v>1230</v>
      </c>
      <c r="F15" s="35">
        <f>15000*3</f>
        <v>45000</v>
      </c>
      <c r="G15" s="40">
        <f>15000*3</f>
        <v>45000</v>
      </c>
      <c r="H15" s="35">
        <v>0</v>
      </c>
      <c r="I15" s="35">
        <f t="shared" si="0"/>
        <v>45000</v>
      </c>
      <c r="J15" s="36">
        <f t="shared" si="1"/>
        <v>0</v>
      </c>
      <c r="K15" s="48" t="s">
        <v>37</v>
      </c>
      <c r="L15" s="48" t="s">
        <v>37</v>
      </c>
      <c r="M15" s="38">
        <v>41698</v>
      </c>
      <c r="N15" s="48" t="s">
        <v>64</v>
      </c>
      <c r="O15" s="35">
        <v>15000</v>
      </c>
      <c r="P15" s="35">
        <v>15000</v>
      </c>
      <c r="Q15" s="35">
        <v>15000</v>
      </c>
    </row>
    <row r="16" spans="1:17" s="15" customFormat="1" ht="38.25" customHeight="1" x14ac:dyDescent="0.2">
      <c r="A16" s="43" t="s">
        <v>1220</v>
      </c>
      <c r="B16" s="46" t="s">
        <v>20</v>
      </c>
      <c r="C16" s="44" t="s">
        <v>1224</v>
      </c>
      <c r="D16" s="34">
        <v>5765</v>
      </c>
      <c r="E16" s="46" t="s">
        <v>1228</v>
      </c>
      <c r="F16" s="35">
        <f>97552*3</f>
        <v>292656</v>
      </c>
      <c r="G16" s="40">
        <f>97552*3</f>
        <v>292656</v>
      </c>
      <c r="H16" s="35">
        <v>0</v>
      </c>
      <c r="I16" s="35">
        <f t="shared" si="0"/>
        <v>292656</v>
      </c>
      <c r="J16" s="36">
        <f t="shared" si="1"/>
        <v>0</v>
      </c>
      <c r="K16" s="48" t="s">
        <v>37</v>
      </c>
      <c r="L16" s="48" t="s">
        <v>42</v>
      </c>
      <c r="M16" s="38">
        <v>41743</v>
      </c>
      <c r="N16" s="48" t="s">
        <v>64</v>
      </c>
      <c r="O16" s="35">
        <v>97552</v>
      </c>
      <c r="P16" s="35">
        <v>97552</v>
      </c>
      <c r="Q16" s="35">
        <v>97552</v>
      </c>
    </row>
    <row r="17" spans="1:17" s="15" customFormat="1" ht="26.25" customHeight="1" x14ac:dyDescent="0.2">
      <c r="A17" s="43" t="s">
        <v>1246</v>
      </c>
      <c r="B17" s="46" t="s">
        <v>20</v>
      </c>
      <c r="C17" s="44" t="s">
        <v>122</v>
      </c>
      <c r="D17" s="47">
        <v>3795</v>
      </c>
      <c r="E17" s="46" t="s">
        <v>1237</v>
      </c>
      <c r="F17" s="35">
        <f>37500*3</f>
        <v>112500</v>
      </c>
      <c r="G17" s="40">
        <f>37500*3</f>
        <v>112500</v>
      </c>
      <c r="H17" s="35">
        <v>0</v>
      </c>
      <c r="I17" s="35">
        <f t="shared" si="0"/>
        <v>112500</v>
      </c>
      <c r="J17" s="36">
        <f t="shared" si="1"/>
        <v>0</v>
      </c>
      <c r="K17" s="48" t="s">
        <v>37</v>
      </c>
      <c r="L17" s="48" t="s">
        <v>37</v>
      </c>
      <c r="M17" s="38">
        <v>41455</v>
      </c>
      <c r="N17" s="48" t="s">
        <v>64</v>
      </c>
      <c r="O17" s="35">
        <v>37500</v>
      </c>
      <c r="P17" s="35">
        <v>37500</v>
      </c>
      <c r="Q17" s="35">
        <v>37500</v>
      </c>
    </row>
    <row r="18" spans="1:17" s="15" customFormat="1" ht="26.25" customHeight="1" x14ac:dyDescent="0.2">
      <c r="A18" s="43" t="s">
        <v>1255</v>
      </c>
      <c r="B18" s="46" t="s">
        <v>20</v>
      </c>
      <c r="C18" s="44" t="s">
        <v>1235</v>
      </c>
      <c r="D18" s="47" t="s">
        <v>1236</v>
      </c>
      <c r="E18" s="46" t="s">
        <v>1243</v>
      </c>
      <c r="F18" s="35">
        <f>7000*3</f>
        <v>21000</v>
      </c>
      <c r="G18" s="40">
        <v>10000</v>
      </c>
      <c r="H18" s="35">
        <v>21000</v>
      </c>
      <c r="I18" s="35">
        <f t="shared" si="0"/>
        <v>31000</v>
      </c>
      <c r="J18" s="36">
        <f t="shared" si="1"/>
        <v>2.1</v>
      </c>
      <c r="K18" s="48" t="s">
        <v>37</v>
      </c>
      <c r="L18" s="48" t="s">
        <v>37</v>
      </c>
      <c r="M18" s="38">
        <v>41455</v>
      </c>
      <c r="N18" s="48" t="s">
        <v>64</v>
      </c>
      <c r="O18" s="35">
        <v>7000</v>
      </c>
      <c r="P18" s="35">
        <v>7000</v>
      </c>
      <c r="Q18" s="35">
        <v>7000</v>
      </c>
    </row>
    <row r="19" spans="1:17" s="15" customFormat="1" ht="26.25" customHeight="1" x14ac:dyDescent="0.2">
      <c r="A19" s="43" t="s">
        <v>1291</v>
      </c>
      <c r="B19" s="46" t="s">
        <v>20</v>
      </c>
      <c r="C19" s="44" t="s">
        <v>1303</v>
      </c>
      <c r="D19" s="47" t="s">
        <v>1306</v>
      </c>
      <c r="E19" s="46" t="s">
        <v>1310</v>
      </c>
      <c r="F19" s="35">
        <f>6000*3</f>
        <v>18000</v>
      </c>
      <c r="G19" s="40">
        <v>25000</v>
      </c>
      <c r="H19" s="35">
        <f>6000*3</f>
        <v>18000</v>
      </c>
      <c r="I19" s="35">
        <f t="shared" si="0"/>
        <v>43000</v>
      </c>
      <c r="J19" s="36">
        <f t="shared" si="1"/>
        <v>0.72</v>
      </c>
      <c r="K19" s="48" t="s">
        <v>37</v>
      </c>
      <c r="L19" s="48" t="s">
        <v>37</v>
      </c>
      <c r="M19" s="38">
        <v>41455</v>
      </c>
      <c r="N19" s="48" t="s">
        <v>64</v>
      </c>
      <c r="O19" s="35">
        <v>6000</v>
      </c>
      <c r="P19" s="35">
        <v>6000</v>
      </c>
      <c r="Q19" s="35">
        <v>6000</v>
      </c>
    </row>
    <row r="20" spans="1:17" s="15" customFormat="1" ht="26.25" customHeight="1" x14ac:dyDescent="0.2">
      <c r="A20" s="43" t="s">
        <v>1373</v>
      </c>
      <c r="B20" s="46" t="s">
        <v>20</v>
      </c>
      <c r="C20" s="44" t="s">
        <v>1303</v>
      </c>
      <c r="D20" s="47" t="s">
        <v>1380</v>
      </c>
      <c r="E20" s="46" t="s">
        <v>1382</v>
      </c>
      <c r="F20" s="35">
        <f>8000*3</f>
        <v>24000</v>
      </c>
      <c r="G20" s="40">
        <v>25000</v>
      </c>
      <c r="H20" s="35">
        <f>6000+8000*3</f>
        <v>30000</v>
      </c>
      <c r="I20" s="35">
        <f t="shared" si="0"/>
        <v>55000</v>
      </c>
      <c r="J20" s="36">
        <f t="shared" si="1"/>
        <v>1.2</v>
      </c>
      <c r="K20" s="48" t="s">
        <v>37</v>
      </c>
      <c r="L20" s="48" t="s">
        <v>37</v>
      </c>
      <c r="M20" s="52">
        <v>41455</v>
      </c>
      <c r="N20" s="48" t="s">
        <v>64</v>
      </c>
      <c r="O20" s="49">
        <v>8000</v>
      </c>
      <c r="P20" s="35">
        <v>8000</v>
      </c>
      <c r="Q20" s="35">
        <v>8000</v>
      </c>
    </row>
    <row r="21" spans="1:17" s="15" customFormat="1" ht="26.25" customHeight="1" x14ac:dyDescent="0.2">
      <c r="A21" s="43" t="s">
        <v>1066</v>
      </c>
      <c r="B21" s="46" t="s">
        <v>1068</v>
      </c>
      <c r="C21" s="44" t="s">
        <v>1072</v>
      </c>
      <c r="D21" s="34">
        <v>5388</v>
      </c>
      <c r="E21" s="46" t="s">
        <v>1079</v>
      </c>
      <c r="F21" s="35">
        <f>25000*3</f>
        <v>75000</v>
      </c>
      <c r="G21" s="40">
        <f>25000*3</f>
        <v>75000</v>
      </c>
      <c r="H21" s="35">
        <v>0</v>
      </c>
      <c r="I21" s="35">
        <f t="shared" si="0"/>
        <v>75000</v>
      </c>
      <c r="J21" s="36">
        <f t="shared" si="1"/>
        <v>0</v>
      </c>
      <c r="K21" s="48" t="s">
        <v>37</v>
      </c>
      <c r="L21" s="48" t="s">
        <v>37</v>
      </c>
      <c r="M21" s="38">
        <v>41455</v>
      </c>
      <c r="N21" s="48" t="s">
        <v>64</v>
      </c>
      <c r="O21" s="35">
        <v>25000</v>
      </c>
      <c r="P21" s="35">
        <v>25000</v>
      </c>
      <c r="Q21" s="35">
        <v>25000</v>
      </c>
    </row>
    <row r="22" spans="1:17" s="15" customFormat="1" ht="26.25" customHeight="1" x14ac:dyDescent="0.2">
      <c r="A22" s="43" t="s">
        <v>219</v>
      </c>
      <c r="B22" s="46" t="s">
        <v>46</v>
      </c>
      <c r="C22" s="44" t="s">
        <v>117</v>
      </c>
      <c r="D22" s="34">
        <v>4202</v>
      </c>
      <c r="E22" s="46" t="s">
        <v>237</v>
      </c>
      <c r="F22" s="35">
        <v>22890</v>
      </c>
      <c r="G22" s="40">
        <v>22890</v>
      </c>
      <c r="H22" s="35">
        <v>0</v>
      </c>
      <c r="I22" s="35">
        <f t="shared" si="0"/>
        <v>22890</v>
      </c>
      <c r="J22" s="36">
        <f t="shared" si="1"/>
        <v>0</v>
      </c>
      <c r="K22" s="48" t="s">
        <v>37</v>
      </c>
      <c r="L22" s="48" t="s">
        <v>42</v>
      </c>
      <c r="M22" s="38">
        <v>41182</v>
      </c>
      <c r="N22" s="37"/>
      <c r="O22" s="41">
        <v>22890</v>
      </c>
      <c r="P22" s="41"/>
      <c r="Q22" s="41"/>
    </row>
    <row r="23" spans="1:17" s="15" customFormat="1" ht="26.25" customHeight="1" x14ac:dyDescent="0.2">
      <c r="A23" s="43" t="s">
        <v>220</v>
      </c>
      <c r="B23" s="46" t="s">
        <v>46</v>
      </c>
      <c r="C23" s="44" t="s">
        <v>83</v>
      </c>
      <c r="D23" s="34">
        <v>4203</v>
      </c>
      <c r="E23" s="46" t="s">
        <v>238</v>
      </c>
      <c r="F23" s="35">
        <v>9138</v>
      </c>
      <c r="G23" s="40">
        <v>9138</v>
      </c>
      <c r="H23" s="35">
        <v>0</v>
      </c>
      <c r="I23" s="35">
        <f t="shared" si="0"/>
        <v>9138</v>
      </c>
      <c r="J23" s="36">
        <f t="shared" si="1"/>
        <v>0</v>
      </c>
      <c r="K23" s="48" t="s">
        <v>37</v>
      </c>
      <c r="L23" s="48" t="s">
        <v>42</v>
      </c>
      <c r="M23" s="38">
        <v>41182</v>
      </c>
      <c r="N23" s="37"/>
      <c r="O23" s="41">
        <v>9138</v>
      </c>
      <c r="P23" s="41"/>
      <c r="Q23" s="41"/>
    </row>
    <row r="24" spans="1:17" s="15" customFormat="1" ht="26.25" customHeight="1" x14ac:dyDescent="0.2">
      <c r="A24" s="43" t="s">
        <v>221</v>
      </c>
      <c r="B24" s="46" t="s">
        <v>46</v>
      </c>
      <c r="C24" s="44" t="s">
        <v>231</v>
      </c>
      <c r="D24" s="34">
        <v>4205</v>
      </c>
      <c r="E24" s="46" t="s">
        <v>239</v>
      </c>
      <c r="F24" s="35">
        <v>5484</v>
      </c>
      <c r="G24" s="40">
        <v>5484</v>
      </c>
      <c r="H24" s="35">
        <v>0</v>
      </c>
      <c r="I24" s="35">
        <f t="shared" si="0"/>
        <v>5484</v>
      </c>
      <c r="J24" s="36">
        <f t="shared" si="1"/>
        <v>0</v>
      </c>
      <c r="K24" s="48" t="s">
        <v>37</v>
      </c>
      <c r="L24" s="48" t="s">
        <v>42</v>
      </c>
      <c r="M24" s="38">
        <v>41455</v>
      </c>
      <c r="N24" s="37"/>
      <c r="O24" s="41">
        <v>5484</v>
      </c>
      <c r="P24" s="41"/>
      <c r="Q24" s="41"/>
    </row>
    <row r="25" spans="1:17" s="15" customFormat="1" ht="26.25" customHeight="1" x14ac:dyDescent="0.2">
      <c r="A25" s="43" t="s">
        <v>222</v>
      </c>
      <c r="B25" s="46" t="s">
        <v>46</v>
      </c>
      <c r="C25" s="44" t="s">
        <v>88</v>
      </c>
      <c r="D25" s="34">
        <v>4206</v>
      </c>
      <c r="E25" s="46" t="s">
        <v>240</v>
      </c>
      <c r="F25" s="35">
        <v>10820</v>
      </c>
      <c r="G25" s="40">
        <v>10820</v>
      </c>
      <c r="H25" s="35">
        <v>0</v>
      </c>
      <c r="I25" s="35">
        <f t="shared" si="0"/>
        <v>10820</v>
      </c>
      <c r="J25" s="36">
        <f t="shared" si="1"/>
        <v>0</v>
      </c>
      <c r="K25" s="48" t="s">
        <v>37</v>
      </c>
      <c r="L25" s="48" t="s">
        <v>42</v>
      </c>
      <c r="M25" s="38">
        <v>41090</v>
      </c>
      <c r="N25" s="37"/>
      <c r="O25" s="41">
        <v>10820</v>
      </c>
      <c r="P25" s="41"/>
      <c r="Q25" s="41"/>
    </row>
    <row r="26" spans="1:17" s="15" customFormat="1" ht="26.25" customHeight="1" x14ac:dyDescent="0.2">
      <c r="A26" s="43" t="s">
        <v>223</v>
      </c>
      <c r="B26" s="46" t="s">
        <v>46</v>
      </c>
      <c r="C26" s="44" t="s">
        <v>232</v>
      </c>
      <c r="D26" s="34">
        <v>4207</v>
      </c>
      <c r="E26" s="46" t="s">
        <v>241</v>
      </c>
      <c r="F26" s="35">
        <v>7413</v>
      </c>
      <c r="G26" s="40">
        <v>7413</v>
      </c>
      <c r="H26" s="35">
        <v>0</v>
      </c>
      <c r="I26" s="35">
        <f t="shared" si="0"/>
        <v>7413</v>
      </c>
      <c r="J26" s="36">
        <f t="shared" si="1"/>
        <v>0</v>
      </c>
      <c r="K26" s="48" t="s">
        <v>37</v>
      </c>
      <c r="L26" s="48" t="s">
        <v>42</v>
      </c>
      <c r="M26" s="38">
        <v>41182</v>
      </c>
      <c r="N26" s="37"/>
      <c r="O26" s="41">
        <v>7413</v>
      </c>
      <c r="P26" s="41"/>
      <c r="Q26" s="41"/>
    </row>
    <row r="27" spans="1:17" s="15" customFormat="1" ht="26.25" customHeight="1" x14ac:dyDescent="0.2">
      <c r="A27" s="43" t="s">
        <v>228</v>
      </c>
      <c r="B27" s="46" t="s">
        <v>46</v>
      </c>
      <c r="C27" s="44" t="s">
        <v>52</v>
      </c>
      <c r="D27" s="34">
        <v>4212</v>
      </c>
      <c r="E27" s="46" t="s">
        <v>246</v>
      </c>
      <c r="F27" s="35">
        <v>18487</v>
      </c>
      <c r="G27" s="40">
        <v>18487</v>
      </c>
      <c r="H27" s="35">
        <v>0</v>
      </c>
      <c r="I27" s="35">
        <f t="shared" si="0"/>
        <v>18487</v>
      </c>
      <c r="J27" s="36">
        <f t="shared" si="1"/>
        <v>0</v>
      </c>
      <c r="K27" s="48" t="s">
        <v>37</v>
      </c>
      <c r="L27" s="48" t="s">
        <v>37</v>
      </c>
      <c r="M27" s="38">
        <v>41182</v>
      </c>
      <c r="N27" s="37"/>
      <c r="O27" s="41">
        <v>18487</v>
      </c>
      <c r="P27" s="41"/>
      <c r="Q27" s="41"/>
    </row>
    <row r="28" spans="1:17" s="15" customFormat="1" ht="26.25" customHeight="1" x14ac:dyDescent="0.2">
      <c r="A28" s="43" t="s">
        <v>254</v>
      </c>
      <c r="B28" s="46" t="s">
        <v>46</v>
      </c>
      <c r="C28" s="44" t="s">
        <v>140</v>
      </c>
      <c r="D28" s="34">
        <v>3984</v>
      </c>
      <c r="E28" s="46" t="s">
        <v>270</v>
      </c>
      <c r="F28" s="35">
        <v>53500</v>
      </c>
      <c r="G28" s="40">
        <v>53500</v>
      </c>
      <c r="H28" s="35">
        <v>0</v>
      </c>
      <c r="I28" s="35">
        <f t="shared" si="0"/>
        <v>53500</v>
      </c>
      <c r="J28" s="36">
        <f t="shared" si="1"/>
        <v>0</v>
      </c>
      <c r="K28" s="48" t="s">
        <v>37</v>
      </c>
      <c r="L28" s="48" t="s">
        <v>37</v>
      </c>
      <c r="M28" s="38">
        <v>41274</v>
      </c>
      <c r="N28" s="37"/>
      <c r="O28" s="41">
        <v>53500</v>
      </c>
      <c r="P28" s="41"/>
      <c r="Q28" s="41"/>
    </row>
    <row r="29" spans="1:17" s="15" customFormat="1" ht="26.25" customHeight="1" x14ac:dyDescent="0.2">
      <c r="A29" s="43" t="s">
        <v>255</v>
      </c>
      <c r="B29" s="46" t="s">
        <v>46</v>
      </c>
      <c r="C29" s="44" t="s">
        <v>108</v>
      </c>
      <c r="D29" s="34">
        <v>4276</v>
      </c>
      <c r="E29" s="46" t="s">
        <v>271</v>
      </c>
      <c r="F29" s="35">
        <f>93600*3</f>
        <v>280800</v>
      </c>
      <c r="G29" s="40">
        <f>93600*3</f>
        <v>280800</v>
      </c>
      <c r="H29" s="35">
        <v>0</v>
      </c>
      <c r="I29" s="35">
        <f t="shared" si="0"/>
        <v>280800</v>
      </c>
      <c r="J29" s="36">
        <f t="shared" si="1"/>
        <v>0</v>
      </c>
      <c r="K29" s="48" t="s">
        <v>37</v>
      </c>
      <c r="L29" s="48" t="s">
        <v>37</v>
      </c>
      <c r="M29" s="38">
        <v>41455</v>
      </c>
      <c r="N29" s="48" t="s">
        <v>64</v>
      </c>
      <c r="O29" s="41">
        <v>93600</v>
      </c>
      <c r="P29" s="41">
        <v>93600</v>
      </c>
      <c r="Q29" s="41">
        <v>93600</v>
      </c>
    </row>
    <row r="30" spans="1:17" s="15" customFormat="1" ht="26.25" customHeight="1" x14ac:dyDescent="0.2">
      <c r="A30" s="43" t="s">
        <v>265</v>
      </c>
      <c r="B30" s="46" t="s">
        <v>46</v>
      </c>
      <c r="C30" s="44" t="s">
        <v>292</v>
      </c>
      <c r="D30" s="34">
        <v>4273</v>
      </c>
      <c r="E30" s="46" t="s">
        <v>279</v>
      </c>
      <c r="F30" s="35">
        <f>90960*3</f>
        <v>272880</v>
      </c>
      <c r="G30" s="40">
        <f>90960*3</f>
        <v>272880</v>
      </c>
      <c r="H30" s="35">
        <v>0</v>
      </c>
      <c r="I30" s="35">
        <f t="shared" si="0"/>
        <v>272880</v>
      </c>
      <c r="J30" s="36">
        <f t="shared" si="1"/>
        <v>0</v>
      </c>
      <c r="K30" s="48" t="s">
        <v>37</v>
      </c>
      <c r="L30" s="48" t="s">
        <v>42</v>
      </c>
      <c r="M30" s="38">
        <v>41455</v>
      </c>
      <c r="N30" s="48" t="s">
        <v>64</v>
      </c>
      <c r="O30" s="41">
        <v>90960</v>
      </c>
      <c r="P30" s="41">
        <v>90960</v>
      </c>
      <c r="Q30" s="41">
        <v>90960</v>
      </c>
    </row>
    <row r="31" spans="1:17" s="15" customFormat="1" ht="26.25" customHeight="1" x14ac:dyDescent="0.2">
      <c r="A31" s="43" t="s">
        <v>402</v>
      </c>
      <c r="B31" s="46" t="s">
        <v>46</v>
      </c>
      <c r="C31" s="44" t="s">
        <v>52</v>
      </c>
      <c r="D31" s="34">
        <v>4210</v>
      </c>
      <c r="E31" s="46" t="s">
        <v>433</v>
      </c>
      <c r="F31" s="35">
        <v>18487</v>
      </c>
      <c r="G31" s="40">
        <v>18487</v>
      </c>
      <c r="H31" s="35">
        <v>0</v>
      </c>
      <c r="I31" s="35">
        <f t="shared" si="0"/>
        <v>18487</v>
      </c>
      <c r="J31" s="36">
        <f t="shared" si="1"/>
        <v>0</v>
      </c>
      <c r="K31" s="48" t="s">
        <v>37</v>
      </c>
      <c r="L31" s="48" t="s">
        <v>42</v>
      </c>
      <c r="M31" s="38">
        <v>41182</v>
      </c>
      <c r="N31" s="37"/>
      <c r="O31" s="41">
        <v>18487</v>
      </c>
      <c r="P31" s="41"/>
      <c r="Q31" s="41"/>
    </row>
    <row r="32" spans="1:17" s="15" customFormat="1" ht="26.25" customHeight="1" x14ac:dyDescent="0.2">
      <c r="A32" s="43" t="s">
        <v>481</v>
      </c>
      <c r="B32" s="46" t="s">
        <v>46</v>
      </c>
      <c r="C32" s="44" t="s">
        <v>1000</v>
      </c>
      <c r="D32" s="47">
        <v>4401</v>
      </c>
      <c r="E32" s="46" t="s">
        <v>507</v>
      </c>
      <c r="F32" s="35">
        <f>40000*3</f>
        <v>120000</v>
      </c>
      <c r="G32" s="40">
        <f>40000*3</f>
        <v>120000</v>
      </c>
      <c r="H32" s="35">
        <v>0</v>
      </c>
      <c r="I32" s="35">
        <f t="shared" si="0"/>
        <v>120000</v>
      </c>
      <c r="J32" s="36">
        <f t="shared" si="1"/>
        <v>0</v>
      </c>
      <c r="K32" s="48" t="s">
        <v>37</v>
      </c>
      <c r="L32" s="48" t="s">
        <v>37</v>
      </c>
      <c r="M32" s="38">
        <v>41455</v>
      </c>
      <c r="N32" s="48" t="s">
        <v>64</v>
      </c>
      <c r="O32" s="41">
        <v>40000</v>
      </c>
      <c r="P32" s="41">
        <v>40000</v>
      </c>
      <c r="Q32" s="41">
        <v>40000</v>
      </c>
    </row>
    <row r="33" spans="1:17" s="15" customFormat="1" ht="26.25" customHeight="1" x14ac:dyDescent="0.2">
      <c r="A33" s="43" t="s">
        <v>482</v>
      </c>
      <c r="B33" s="46" t="s">
        <v>46</v>
      </c>
      <c r="C33" s="44" t="s">
        <v>22</v>
      </c>
      <c r="D33" s="47">
        <v>4402</v>
      </c>
      <c r="E33" s="46" t="s">
        <v>508</v>
      </c>
      <c r="F33" s="35">
        <f>40000*3</f>
        <v>120000</v>
      </c>
      <c r="G33" s="40">
        <f>40000*3</f>
        <v>120000</v>
      </c>
      <c r="H33" s="35">
        <v>0</v>
      </c>
      <c r="I33" s="35">
        <f t="shared" si="0"/>
        <v>120000</v>
      </c>
      <c r="J33" s="36">
        <f t="shared" si="1"/>
        <v>0</v>
      </c>
      <c r="K33" s="48" t="s">
        <v>37</v>
      </c>
      <c r="L33" s="48" t="s">
        <v>37</v>
      </c>
      <c r="M33" s="38">
        <v>41455</v>
      </c>
      <c r="N33" s="48" t="s">
        <v>64</v>
      </c>
      <c r="O33" s="41">
        <v>40000</v>
      </c>
      <c r="P33" s="41">
        <v>40000</v>
      </c>
      <c r="Q33" s="41">
        <v>40000</v>
      </c>
    </row>
    <row r="34" spans="1:17" s="15" customFormat="1" ht="26.25" customHeight="1" x14ac:dyDescent="0.2">
      <c r="A34" s="43" t="s">
        <v>483</v>
      </c>
      <c r="B34" s="46" t="s">
        <v>46</v>
      </c>
      <c r="C34" s="44" t="s">
        <v>74</v>
      </c>
      <c r="D34" s="47">
        <v>4404</v>
      </c>
      <c r="E34" s="46" t="s">
        <v>509</v>
      </c>
      <c r="F34" s="35">
        <f>30000*3</f>
        <v>90000</v>
      </c>
      <c r="G34" s="40">
        <f>30000*3</f>
        <v>90000</v>
      </c>
      <c r="H34" s="35">
        <v>0</v>
      </c>
      <c r="I34" s="35">
        <f t="shared" si="0"/>
        <v>90000</v>
      </c>
      <c r="J34" s="36">
        <f t="shared" si="1"/>
        <v>0</v>
      </c>
      <c r="K34" s="48" t="s">
        <v>37</v>
      </c>
      <c r="L34" s="48" t="s">
        <v>37</v>
      </c>
      <c r="M34" s="38">
        <v>41455</v>
      </c>
      <c r="N34" s="48" t="s">
        <v>64</v>
      </c>
      <c r="O34" s="41">
        <v>30000</v>
      </c>
      <c r="P34" s="41">
        <v>30000</v>
      </c>
      <c r="Q34" s="41">
        <v>30000</v>
      </c>
    </row>
    <row r="35" spans="1:17" s="15" customFormat="1" ht="26.25" customHeight="1" x14ac:dyDescent="0.2">
      <c r="A35" s="43" t="s">
        <v>484</v>
      </c>
      <c r="B35" s="46" t="s">
        <v>46</v>
      </c>
      <c r="C35" s="44" t="s">
        <v>496</v>
      </c>
      <c r="D35" s="47">
        <v>4406</v>
      </c>
      <c r="E35" s="46" t="s">
        <v>510</v>
      </c>
      <c r="F35" s="35">
        <f>15000*3</f>
        <v>45000</v>
      </c>
      <c r="G35" s="40">
        <f>15000*3</f>
        <v>45000</v>
      </c>
      <c r="H35" s="35">
        <v>0</v>
      </c>
      <c r="I35" s="35">
        <f t="shared" si="0"/>
        <v>45000</v>
      </c>
      <c r="J35" s="36">
        <f t="shared" si="1"/>
        <v>0</v>
      </c>
      <c r="K35" s="48" t="s">
        <v>37</v>
      </c>
      <c r="L35" s="48" t="s">
        <v>37</v>
      </c>
      <c r="M35" s="38">
        <v>41455</v>
      </c>
      <c r="N35" s="48" t="s">
        <v>64</v>
      </c>
      <c r="O35" s="41">
        <v>15000</v>
      </c>
      <c r="P35" s="41">
        <v>15000</v>
      </c>
      <c r="Q35" s="41">
        <v>15000</v>
      </c>
    </row>
    <row r="36" spans="1:17" s="15" customFormat="1" ht="18" customHeight="1" x14ac:dyDescent="0.2">
      <c r="A36" s="43" t="s">
        <v>485</v>
      </c>
      <c r="B36" s="46" t="s">
        <v>46</v>
      </c>
      <c r="C36" s="44" t="s">
        <v>497</v>
      </c>
      <c r="D36" s="47">
        <v>4410</v>
      </c>
      <c r="E36" s="46" t="s">
        <v>511</v>
      </c>
      <c r="F36" s="35">
        <f>10000*3</f>
        <v>30000</v>
      </c>
      <c r="G36" s="40">
        <f>10000*3</f>
        <v>30000</v>
      </c>
      <c r="H36" s="35">
        <v>0</v>
      </c>
      <c r="I36" s="35">
        <f t="shared" si="0"/>
        <v>30000</v>
      </c>
      <c r="J36" s="36">
        <f t="shared" si="1"/>
        <v>0</v>
      </c>
      <c r="K36" s="48" t="s">
        <v>37</v>
      </c>
      <c r="L36" s="48" t="s">
        <v>37</v>
      </c>
      <c r="M36" s="38">
        <v>41455</v>
      </c>
      <c r="N36" s="48" t="s">
        <v>64</v>
      </c>
      <c r="O36" s="41">
        <v>10000</v>
      </c>
      <c r="P36" s="41">
        <v>10000</v>
      </c>
      <c r="Q36" s="41">
        <v>10000</v>
      </c>
    </row>
    <row r="37" spans="1:17" s="15" customFormat="1" ht="26.25" customHeight="1" x14ac:dyDescent="0.2">
      <c r="A37" s="43" t="s">
        <v>486</v>
      </c>
      <c r="B37" s="46" t="s">
        <v>46</v>
      </c>
      <c r="C37" s="44" t="s">
        <v>113</v>
      </c>
      <c r="D37" s="47">
        <v>4411</v>
      </c>
      <c r="E37" s="46" t="s">
        <v>512</v>
      </c>
      <c r="F37" s="35">
        <f>49000*3</f>
        <v>147000</v>
      </c>
      <c r="G37" s="40">
        <f>49000*3</f>
        <v>147000</v>
      </c>
      <c r="H37" s="35">
        <v>0</v>
      </c>
      <c r="I37" s="35">
        <f t="shared" si="0"/>
        <v>147000</v>
      </c>
      <c r="J37" s="36">
        <f t="shared" si="1"/>
        <v>0</v>
      </c>
      <c r="K37" s="48" t="s">
        <v>37</v>
      </c>
      <c r="L37" s="48" t="s">
        <v>37</v>
      </c>
      <c r="M37" s="38">
        <v>41455</v>
      </c>
      <c r="N37" s="48" t="s">
        <v>64</v>
      </c>
      <c r="O37" s="41">
        <v>49000</v>
      </c>
      <c r="P37" s="41">
        <v>49000</v>
      </c>
      <c r="Q37" s="41">
        <v>49000</v>
      </c>
    </row>
    <row r="38" spans="1:17" s="15" customFormat="1" ht="18" customHeight="1" x14ac:dyDescent="0.2">
      <c r="A38" s="43" t="s">
        <v>487</v>
      </c>
      <c r="B38" s="46" t="s">
        <v>46</v>
      </c>
      <c r="C38" s="44" t="s">
        <v>498</v>
      </c>
      <c r="D38" s="47">
        <v>4414</v>
      </c>
      <c r="E38" s="46" t="s">
        <v>513</v>
      </c>
      <c r="F38" s="35">
        <f>7500*3</f>
        <v>22500</v>
      </c>
      <c r="G38" s="40">
        <f>7500*3</f>
        <v>22500</v>
      </c>
      <c r="H38" s="35">
        <v>0</v>
      </c>
      <c r="I38" s="35">
        <f t="shared" si="0"/>
        <v>22500</v>
      </c>
      <c r="J38" s="36">
        <f t="shared" si="1"/>
        <v>0</v>
      </c>
      <c r="K38" s="48" t="s">
        <v>37</v>
      </c>
      <c r="L38" s="48" t="s">
        <v>37</v>
      </c>
      <c r="M38" s="38">
        <v>41455</v>
      </c>
      <c r="N38" s="48" t="s">
        <v>64</v>
      </c>
      <c r="O38" s="41">
        <v>7500</v>
      </c>
      <c r="P38" s="41">
        <v>7500</v>
      </c>
      <c r="Q38" s="41">
        <v>7500</v>
      </c>
    </row>
    <row r="39" spans="1:17" s="15" customFormat="1" ht="38.25" customHeight="1" x14ac:dyDescent="0.2">
      <c r="A39" s="43" t="s">
        <v>488</v>
      </c>
      <c r="B39" s="46" t="s">
        <v>46</v>
      </c>
      <c r="C39" s="44" t="s">
        <v>499</v>
      </c>
      <c r="D39" s="47">
        <v>4405</v>
      </c>
      <c r="E39" s="46" t="s">
        <v>514</v>
      </c>
      <c r="F39" s="35">
        <f>25000*3</f>
        <v>75000</v>
      </c>
      <c r="G39" s="40">
        <f>25000*3</f>
        <v>75000</v>
      </c>
      <c r="H39" s="35">
        <v>0</v>
      </c>
      <c r="I39" s="35">
        <f t="shared" si="0"/>
        <v>75000</v>
      </c>
      <c r="J39" s="36">
        <f t="shared" si="1"/>
        <v>0</v>
      </c>
      <c r="K39" s="48" t="s">
        <v>37</v>
      </c>
      <c r="L39" s="48" t="s">
        <v>37</v>
      </c>
      <c r="M39" s="38">
        <v>41455</v>
      </c>
      <c r="N39" s="48" t="s">
        <v>64</v>
      </c>
      <c r="O39" s="41">
        <v>25000</v>
      </c>
      <c r="P39" s="41">
        <v>25000</v>
      </c>
      <c r="Q39" s="41">
        <v>25000</v>
      </c>
    </row>
    <row r="40" spans="1:17" s="15" customFormat="1" ht="26.25" customHeight="1" x14ac:dyDescent="0.2">
      <c r="A40" s="43" t="s">
        <v>537</v>
      </c>
      <c r="B40" s="46" t="s">
        <v>46</v>
      </c>
      <c r="C40" s="44" t="s">
        <v>52</v>
      </c>
      <c r="D40" s="47">
        <v>4471</v>
      </c>
      <c r="E40" s="46" t="s">
        <v>568</v>
      </c>
      <c r="F40" s="35">
        <v>18487</v>
      </c>
      <c r="G40" s="40">
        <v>18487</v>
      </c>
      <c r="H40" s="35">
        <v>0</v>
      </c>
      <c r="I40" s="35">
        <f t="shared" si="0"/>
        <v>18487</v>
      </c>
      <c r="J40" s="36">
        <f t="shared" si="1"/>
        <v>0</v>
      </c>
      <c r="K40" s="48" t="s">
        <v>37</v>
      </c>
      <c r="L40" s="48" t="s">
        <v>42</v>
      </c>
      <c r="M40" s="38">
        <v>406668</v>
      </c>
      <c r="N40" s="48"/>
      <c r="O40" s="41">
        <v>18487</v>
      </c>
      <c r="P40" s="41"/>
      <c r="Q40" s="41"/>
    </row>
    <row r="41" spans="1:17" s="15" customFormat="1" ht="18" customHeight="1" x14ac:dyDescent="0.2">
      <c r="A41" s="43" t="s">
        <v>587</v>
      </c>
      <c r="B41" s="46" t="s">
        <v>46</v>
      </c>
      <c r="C41" s="44" t="s">
        <v>596</v>
      </c>
      <c r="D41" s="34">
        <v>4453</v>
      </c>
      <c r="E41" s="46" t="s">
        <v>591</v>
      </c>
      <c r="F41" s="35">
        <f>20000*3</f>
        <v>60000</v>
      </c>
      <c r="G41" s="40">
        <f>20000*3</f>
        <v>60000</v>
      </c>
      <c r="H41" s="35">
        <v>0</v>
      </c>
      <c r="I41" s="35">
        <f t="shared" si="0"/>
        <v>60000</v>
      </c>
      <c r="J41" s="36">
        <f t="shared" si="1"/>
        <v>0</v>
      </c>
      <c r="K41" s="48" t="s">
        <v>37</v>
      </c>
      <c r="L41" s="48" t="s">
        <v>37</v>
      </c>
      <c r="M41" s="38">
        <v>41455</v>
      </c>
      <c r="N41" s="48" t="s">
        <v>64</v>
      </c>
      <c r="O41" s="35">
        <v>20000</v>
      </c>
      <c r="P41" s="35">
        <v>20000</v>
      </c>
      <c r="Q41" s="35">
        <v>20000</v>
      </c>
    </row>
    <row r="42" spans="1:17" s="15" customFormat="1" ht="26.25" customHeight="1" x14ac:dyDescent="0.2">
      <c r="A42" s="43" t="s">
        <v>589</v>
      </c>
      <c r="B42" s="46" t="s">
        <v>46</v>
      </c>
      <c r="C42" s="44" t="s">
        <v>70</v>
      </c>
      <c r="D42" s="34">
        <v>4498</v>
      </c>
      <c r="E42" s="46" t="s">
        <v>593</v>
      </c>
      <c r="F42" s="35">
        <f>25000*3</f>
        <v>75000</v>
      </c>
      <c r="G42" s="40">
        <f>25000*3</f>
        <v>75000</v>
      </c>
      <c r="H42" s="35">
        <v>0</v>
      </c>
      <c r="I42" s="35">
        <f t="shared" si="0"/>
        <v>75000</v>
      </c>
      <c r="J42" s="36">
        <f t="shared" si="1"/>
        <v>0</v>
      </c>
      <c r="K42" s="48" t="s">
        <v>37</v>
      </c>
      <c r="L42" s="48" t="s">
        <v>37</v>
      </c>
      <c r="M42" s="38">
        <v>41455</v>
      </c>
      <c r="N42" s="48" t="s">
        <v>64</v>
      </c>
      <c r="O42" s="35">
        <v>25000</v>
      </c>
      <c r="P42" s="35">
        <v>25000</v>
      </c>
      <c r="Q42" s="35">
        <v>25000</v>
      </c>
    </row>
    <row r="43" spans="1:17" s="15" customFormat="1" ht="26.25" customHeight="1" x14ac:dyDescent="0.2">
      <c r="A43" s="43" t="s">
        <v>590</v>
      </c>
      <c r="B43" s="46" t="s">
        <v>46</v>
      </c>
      <c r="C43" s="44" t="s">
        <v>71</v>
      </c>
      <c r="D43" s="34">
        <v>4501</v>
      </c>
      <c r="E43" s="46" t="s">
        <v>594</v>
      </c>
      <c r="F43" s="35">
        <f>22330*3</f>
        <v>66990</v>
      </c>
      <c r="G43" s="40">
        <f>22330*3</f>
        <v>66990</v>
      </c>
      <c r="H43" s="35">
        <v>0</v>
      </c>
      <c r="I43" s="35">
        <f t="shared" si="0"/>
        <v>66990</v>
      </c>
      <c r="J43" s="36">
        <f t="shared" si="1"/>
        <v>0</v>
      </c>
      <c r="K43" s="48" t="s">
        <v>37</v>
      </c>
      <c r="L43" s="48" t="s">
        <v>37</v>
      </c>
      <c r="M43" s="38">
        <v>41455</v>
      </c>
      <c r="N43" s="48" t="s">
        <v>64</v>
      </c>
      <c r="O43" s="35">
        <v>22330</v>
      </c>
      <c r="P43" s="35">
        <v>22330</v>
      </c>
      <c r="Q43" s="35">
        <v>22330</v>
      </c>
    </row>
    <row r="44" spans="1:17" s="15" customFormat="1" ht="26.25" customHeight="1" x14ac:dyDescent="0.2">
      <c r="A44" s="43" t="s">
        <v>603</v>
      </c>
      <c r="B44" s="46" t="s">
        <v>46</v>
      </c>
      <c r="C44" s="44" t="s">
        <v>666</v>
      </c>
      <c r="D44" s="34">
        <v>4503</v>
      </c>
      <c r="E44" s="46" t="s">
        <v>671</v>
      </c>
      <c r="F44" s="35">
        <f>50000*3</f>
        <v>150000</v>
      </c>
      <c r="G44" s="40">
        <f>50000*3</f>
        <v>150000</v>
      </c>
      <c r="H44" s="35">
        <v>0</v>
      </c>
      <c r="I44" s="35">
        <f t="shared" si="0"/>
        <v>150000</v>
      </c>
      <c r="J44" s="36">
        <f t="shared" si="1"/>
        <v>0</v>
      </c>
      <c r="K44" s="48" t="s">
        <v>37</v>
      </c>
      <c r="L44" s="48" t="s">
        <v>37</v>
      </c>
      <c r="M44" s="38">
        <v>41455</v>
      </c>
      <c r="N44" s="48" t="s">
        <v>64</v>
      </c>
      <c r="O44" s="35">
        <v>50000</v>
      </c>
      <c r="P44" s="35">
        <v>50000</v>
      </c>
      <c r="Q44" s="35">
        <v>50000</v>
      </c>
    </row>
    <row r="45" spans="1:17" s="15" customFormat="1" ht="26.25" customHeight="1" x14ac:dyDescent="0.2">
      <c r="A45" s="43" t="s">
        <v>660</v>
      </c>
      <c r="B45" s="46" t="s">
        <v>46</v>
      </c>
      <c r="C45" s="44" t="s">
        <v>82</v>
      </c>
      <c r="D45" s="34">
        <v>4609</v>
      </c>
      <c r="E45" s="46" t="s">
        <v>679</v>
      </c>
      <c r="F45" s="35">
        <v>14750</v>
      </c>
      <c r="G45" s="40">
        <v>14750</v>
      </c>
      <c r="H45" s="35">
        <v>0</v>
      </c>
      <c r="I45" s="35">
        <f t="shared" si="0"/>
        <v>14750</v>
      </c>
      <c r="J45" s="36">
        <f t="shared" si="1"/>
        <v>0</v>
      </c>
      <c r="K45" s="48" t="s">
        <v>37</v>
      </c>
      <c r="L45" s="48" t="s">
        <v>37</v>
      </c>
      <c r="M45" s="38">
        <v>41523</v>
      </c>
      <c r="N45" s="48"/>
      <c r="O45" s="35">
        <v>14750</v>
      </c>
      <c r="P45" s="35"/>
      <c r="Q45" s="35"/>
    </row>
    <row r="46" spans="1:17" s="15" customFormat="1" ht="26.25" customHeight="1" x14ac:dyDescent="0.2">
      <c r="A46" s="43" t="s">
        <v>640</v>
      </c>
      <c r="B46" s="46" t="s">
        <v>46</v>
      </c>
      <c r="C46" s="44" t="s">
        <v>121</v>
      </c>
      <c r="D46" s="34">
        <v>4642</v>
      </c>
      <c r="E46" s="46" t="s">
        <v>653</v>
      </c>
      <c r="F46" s="35">
        <v>21304</v>
      </c>
      <c r="G46" s="40">
        <v>21304</v>
      </c>
      <c r="H46" s="35">
        <v>0</v>
      </c>
      <c r="I46" s="35">
        <f t="shared" si="0"/>
        <v>21304</v>
      </c>
      <c r="J46" s="36">
        <f t="shared" si="1"/>
        <v>0</v>
      </c>
      <c r="K46" s="48" t="s">
        <v>37</v>
      </c>
      <c r="L46" s="48" t="s">
        <v>37</v>
      </c>
      <c r="M46" s="38">
        <v>41455</v>
      </c>
      <c r="N46" s="37"/>
      <c r="O46" s="35">
        <v>21304</v>
      </c>
      <c r="P46" s="35"/>
      <c r="Q46" s="35"/>
    </row>
    <row r="47" spans="1:17" s="15" customFormat="1" ht="26.25" customHeight="1" x14ac:dyDescent="0.2">
      <c r="A47" s="43" t="s">
        <v>745</v>
      </c>
      <c r="B47" s="46" t="s">
        <v>46</v>
      </c>
      <c r="C47" s="44" t="s">
        <v>83</v>
      </c>
      <c r="D47" s="34">
        <v>4887</v>
      </c>
      <c r="E47" s="46" t="s">
        <v>238</v>
      </c>
      <c r="F47" s="35">
        <v>9355</v>
      </c>
      <c r="G47" s="40">
        <v>9355</v>
      </c>
      <c r="H47" s="35">
        <v>0</v>
      </c>
      <c r="I47" s="35">
        <f t="shared" si="0"/>
        <v>9355</v>
      </c>
      <c r="J47" s="36">
        <f t="shared" si="1"/>
        <v>0</v>
      </c>
      <c r="K47" s="48" t="s">
        <v>37</v>
      </c>
      <c r="L47" s="48" t="s">
        <v>42</v>
      </c>
      <c r="M47" s="38">
        <v>41455</v>
      </c>
      <c r="N47" s="37"/>
      <c r="O47" s="35">
        <v>9355</v>
      </c>
      <c r="P47" s="35"/>
      <c r="Q47" s="35"/>
    </row>
    <row r="48" spans="1:17" s="15" customFormat="1" ht="26.25" customHeight="1" x14ac:dyDescent="0.2">
      <c r="A48" s="43" t="s">
        <v>897</v>
      </c>
      <c r="B48" s="46" t="s">
        <v>46</v>
      </c>
      <c r="C48" s="44" t="s">
        <v>88</v>
      </c>
      <c r="D48" s="34">
        <v>5079</v>
      </c>
      <c r="E48" s="46" t="s">
        <v>913</v>
      </c>
      <c r="F48" s="35">
        <v>12723</v>
      </c>
      <c r="G48" s="40">
        <v>12723</v>
      </c>
      <c r="H48" s="35">
        <v>0</v>
      </c>
      <c r="I48" s="35">
        <f t="shared" si="0"/>
        <v>12723</v>
      </c>
      <c r="J48" s="36">
        <f t="shared" si="1"/>
        <v>0</v>
      </c>
      <c r="K48" s="48" t="s">
        <v>37</v>
      </c>
      <c r="L48" s="48" t="s">
        <v>42</v>
      </c>
      <c r="M48" s="38">
        <v>41455</v>
      </c>
      <c r="N48" s="37"/>
      <c r="O48" s="35">
        <v>12723</v>
      </c>
      <c r="P48" s="35"/>
      <c r="Q48" s="35"/>
    </row>
    <row r="49" spans="1:17" s="15" customFormat="1" ht="26.25" customHeight="1" x14ac:dyDescent="0.2">
      <c r="A49" s="43" t="s">
        <v>898</v>
      </c>
      <c r="B49" s="46" t="s">
        <v>46</v>
      </c>
      <c r="C49" s="44" t="s">
        <v>907</v>
      </c>
      <c r="D49" s="34">
        <v>5080</v>
      </c>
      <c r="E49" s="46" t="s">
        <v>914</v>
      </c>
      <c r="F49" s="35">
        <v>16725</v>
      </c>
      <c r="G49" s="40">
        <v>16725</v>
      </c>
      <c r="H49" s="35">
        <v>0</v>
      </c>
      <c r="I49" s="35">
        <f t="shared" si="0"/>
        <v>16725</v>
      </c>
      <c r="J49" s="36">
        <f t="shared" si="1"/>
        <v>0</v>
      </c>
      <c r="K49" s="48" t="s">
        <v>37</v>
      </c>
      <c r="L49" s="48" t="s">
        <v>42</v>
      </c>
      <c r="M49" s="38">
        <v>41455</v>
      </c>
      <c r="N49" s="37"/>
      <c r="O49" s="35">
        <v>16725</v>
      </c>
      <c r="P49" s="35"/>
      <c r="Q49" s="35"/>
    </row>
    <row r="50" spans="1:17" s="15" customFormat="1" ht="26.25" customHeight="1" x14ac:dyDescent="0.2">
      <c r="A50" s="43" t="s">
        <v>899</v>
      </c>
      <c r="B50" s="46" t="s">
        <v>46</v>
      </c>
      <c r="C50" s="44" t="s">
        <v>52</v>
      </c>
      <c r="D50" s="34">
        <v>5081</v>
      </c>
      <c r="E50" s="46" t="s">
        <v>915</v>
      </c>
      <c r="F50" s="35">
        <v>35439</v>
      </c>
      <c r="G50" s="40">
        <v>35439</v>
      </c>
      <c r="H50" s="35">
        <v>0</v>
      </c>
      <c r="I50" s="35">
        <f t="shared" si="0"/>
        <v>35439</v>
      </c>
      <c r="J50" s="36">
        <f t="shared" si="1"/>
        <v>0</v>
      </c>
      <c r="K50" s="48" t="s">
        <v>37</v>
      </c>
      <c r="L50" s="48" t="s">
        <v>42</v>
      </c>
      <c r="M50" s="38">
        <v>41455</v>
      </c>
      <c r="N50" s="37"/>
      <c r="O50" s="35">
        <v>35439</v>
      </c>
      <c r="P50" s="35"/>
      <c r="Q50" s="35"/>
    </row>
    <row r="51" spans="1:17" s="15" customFormat="1" ht="26.25" customHeight="1" x14ac:dyDescent="0.2">
      <c r="A51" s="43" t="s">
        <v>996</v>
      </c>
      <c r="B51" s="46" t="s">
        <v>46</v>
      </c>
      <c r="C51" s="44" t="s">
        <v>1000</v>
      </c>
      <c r="D51" s="34">
        <v>4998</v>
      </c>
      <c r="E51" s="46" t="s">
        <v>1003</v>
      </c>
      <c r="F51" s="35">
        <f>30000*3</f>
        <v>90000</v>
      </c>
      <c r="G51" s="40">
        <v>40000</v>
      </c>
      <c r="H51" s="35">
        <f>30000*3</f>
        <v>90000</v>
      </c>
      <c r="I51" s="35">
        <f t="shared" si="0"/>
        <v>130000</v>
      </c>
      <c r="J51" s="36">
        <f t="shared" si="1"/>
        <v>2.25</v>
      </c>
      <c r="K51" s="48" t="s">
        <v>37</v>
      </c>
      <c r="L51" s="48" t="s">
        <v>37</v>
      </c>
      <c r="M51" s="38">
        <v>41455</v>
      </c>
      <c r="N51" s="48" t="s">
        <v>64</v>
      </c>
      <c r="O51" s="35">
        <v>30000</v>
      </c>
      <c r="P51" s="35">
        <v>30000</v>
      </c>
      <c r="Q51" s="35">
        <v>30000</v>
      </c>
    </row>
    <row r="52" spans="1:17" s="15" customFormat="1" ht="26.25" customHeight="1" x14ac:dyDescent="0.2">
      <c r="A52" s="43" t="s">
        <v>1035</v>
      </c>
      <c r="B52" s="46" t="s">
        <v>46</v>
      </c>
      <c r="C52" s="44" t="s">
        <v>1039</v>
      </c>
      <c r="D52" s="34">
        <v>5238</v>
      </c>
      <c r="E52" s="46" t="s">
        <v>1042</v>
      </c>
      <c r="F52" s="35">
        <f>65000*3</f>
        <v>195000</v>
      </c>
      <c r="G52" s="40">
        <f>65000*3</f>
        <v>195000</v>
      </c>
      <c r="H52" s="35">
        <v>0</v>
      </c>
      <c r="I52" s="35">
        <f t="shared" si="0"/>
        <v>195000</v>
      </c>
      <c r="J52" s="36">
        <f t="shared" si="1"/>
        <v>0</v>
      </c>
      <c r="K52" s="48" t="s">
        <v>37</v>
      </c>
      <c r="L52" s="48" t="s">
        <v>37</v>
      </c>
      <c r="M52" s="52">
        <v>41639</v>
      </c>
      <c r="N52" s="48" t="s">
        <v>64</v>
      </c>
      <c r="O52" s="35">
        <v>65000</v>
      </c>
      <c r="P52" s="35">
        <v>65000</v>
      </c>
      <c r="Q52" s="35">
        <v>65000</v>
      </c>
    </row>
    <row r="53" spans="1:17" s="15" customFormat="1" ht="26.25" customHeight="1" x14ac:dyDescent="0.2">
      <c r="A53" s="43" t="s">
        <v>1036</v>
      </c>
      <c r="B53" s="46" t="s">
        <v>46</v>
      </c>
      <c r="C53" s="44" t="s">
        <v>1040</v>
      </c>
      <c r="D53" s="34">
        <v>5222</v>
      </c>
      <c r="E53" s="46" t="s">
        <v>1043</v>
      </c>
      <c r="F53" s="35">
        <f>63000*3</f>
        <v>189000</v>
      </c>
      <c r="G53" s="40">
        <f>63000*3</f>
        <v>189000</v>
      </c>
      <c r="H53" s="35">
        <v>0</v>
      </c>
      <c r="I53" s="35">
        <f t="shared" si="0"/>
        <v>189000</v>
      </c>
      <c r="J53" s="36">
        <f t="shared" si="1"/>
        <v>0</v>
      </c>
      <c r="K53" s="48" t="s">
        <v>37</v>
      </c>
      <c r="L53" s="48" t="s">
        <v>37</v>
      </c>
      <c r="M53" s="38">
        <v>41639</v>
      </c>
      <c r="N53" s="48" t="s">
        <v>64</v>
      </c>
      <c r="O53" s="35">
        <v>63000</v>
      </c>
      <c r="P53" s="35">
        <v>63000</v>
      </c>
      <c r="Q53" s="35">
        <v>63000</v>
      </c>
    </row>
    <row r="54" spans="1:17" s="15" customFormat="1" ht="38.25" customHeight="1" x14ac:dyDescent="0.2">
      <c r="A54" s="43" t="s">
        <v>1047</v>
      </c>
      <c r="B54" s="46" t="s">
        <v>46</v>
      </c>
      <c r="C54" s="44" t="s">
        <v>1052</v>
      </c>
      <c r="D54" s="34">
        <v>5223</v>
      </c>
      <c r="E54" s="46" t="s">
        <v>1057</v>
      </c>
      <c r="F54" s="35">
        <f>46800*3</f>
        <v>140400</v>
      </c>
      <c r="G54" s="40">
        <f>46800*3</f>
        <v>140400</v>
      </c>
      <c r="H54" s="35">
        <v>0</v>
      </c>
      <c r="I54" s="35">
        <f t="shared" si="0"/>
        <v>140400</v>
      </c>
      <c r="J54" s="36">
        <f t="shared" si="1"/>
        <v>0</v>
      </c>
      <c r="K54" s="48" t="s">
        <v>37</v>
      </c>
      <c r="L54" s="48" t="s">
        <v>37</v>
      </c>
      <c r="M54" s="38">
        <v>41639</v>
      </c>
      <c r="N54" s="48" t="s">
        <v>64</v>
      </c>
      <c r="O54" s="35">
        <v>46800</v>
      </c>
      <c r="P54" s="35">
        <v>46800</v>
      </c>
      <c r="Q54" s="35">
        <v>46800</v>
      </c>
    </row>
    <row r="55" spans="1:17" s="15" customFormat="1" ht="26.25" customHeight="1" x14ac:dyDescent="0.2">
      <c r="A55" s="43" t="s">
        <v>1191</v>
      </c>
      <c r="B55" s="46" t="s">
        <v>46</v>
      </c>
      <c r="C55" s="44" t="s">
        <v>1196</v>
      </c>
      <c r="D55" s="34">
        <v>5746</v>
      </c>
      <c r="E55" s="46" t="s">
        <v>1206</v>
      </c>
      <c r="F55" s="35">
        <v>9196</v>
      </c>
      <c r="G55" s="40">
        <v>9196</v>
      </c>
      <c r="H55" s="35">
        <v>0</v>
      </c>
      <c r="I55" s="35">
        <f t="shared" si="0"/>
        <v>9196</v>
      </c>
      <c r="J55" s="36">
        <f t="shared" si="1"/>
        <v>0</v>
      </c>
      <c r="K55" s="48" t="s">
        <v>37</v>
      </c>
      <c r="L55" s="48" t="s">
        <v>42</v>
      </c>
      <c r="M55" s="38">
        <v>41455</v>
      </c>
      <c r="N55" s="48"/>
      <c r="O55" s="35">
        <v>9196</v>
      </c>
      <c r="P55" s="35"/>
      <c r="Q55" s="35"/>
    </row>
    <row r="56" spans="1:17" s="15" customFormat="1" ht="26.25" customHeight="1" x14ac:dyDescent="0.2">
      <c r="A56" s="43" t="s">
        <v>1288</v>
      </c>
      <c r="B56" s="46" t="s">
        <v>46</v>
      </c>
      <c r="C56" s="44" t="s">
        <v>88</v>
      </c>
      <c r="D56" s="47">
        <v>5935</v>
      </c>
      <c r="E56" s="46" t="s">
        <v>1309</v>
      </c>
      <c r="F56" s="35">
        <v>14414</v>
      </c>
      <c r="G56" s="40">
        <v>14414</v>
      </c>
      <c r="H56" s="35">
        <v>0</v>
      </c>
      <c r="I56" s="35">
        <f t="shared" si="0"/>
        <v>14414</v>
      </c>
      <c r="J56" s="36">
        <f t="shared" si="1"/>
        <v>0</v>
      </c>
      <c r="K56" s="48" t="s">
        <v>37</v>
      </c>
      <c r="L56" s="48" t="s">
        <v>42</v>
      </c>
      <c r="M56" s="38">
        <v>41455</v>
      </c>
      <c r="N56" s="48"/>
      <c r="O56" s="35">
        <v>14414</v>
      </c>
      <c r="P56" s="35"/>
      <c r="Q56" s="35"/>
    </row>
    <row r="57" spans="1:17" s="15" customFormat="1" ht="26.25" customHeight="1" x14ac:dyDescent="0.2">
      <c r="A57" s="43" t="s">
        <v>1338</v>
      </c>
      <c r="B57" s="46" t="s">
        <v>46</v>
      </c>
      <c r="C57" s="44" t="s">
        <v>1341</v>
      </c>
      <c r="D57" s="47" t="s">
        <v>1342</v>
      </c>
      <c r="E57" s="46" t="s">
        <v>512</v>
      </c>
      <c r="F57" s="35">
        <f>20000*3</f>
        <v>60000</v>
      </c>
      <c r="G57" s="40">
        <v>49000</v>
      </c>
      <c r="H57" s="35">
        <f>20000*3</f>
        <v>60000</v>
      </c>
      <c r="I57" s="35">
        <f t="shared" si="0"/>
        <v>109000</v>
      </c>
      <c r="J57" s="36">
        <f t="shared" si="1"/>
        <v>1.2244897959183674</v>
      </c>
      <c r="K57" s="48" t="s">
        <v>37</v>
      </c>
      <c r="L57" s="48" t="s">
        <v>37</v>
      </c>
      <c r="M57" s="38">
        <v>41455</v>
      </c>
      <c r="N57" s="48" t="s">
        <v>64</v>
      </c>
      <c r="O57" s="35">
        <v>20000</v>
      </c>
      <c r="P57" s="35">
        <v>20000</v>
      </c>
      <c r="Q57" s="35">
        <v>20000</v>
      </c>
    </row>
    <row r="58" spans="1:17" s="15" customFormat="1" ht="26.25" customHeight="1" x14ac:dyDescent="0.2">
      <c r="A58" s="43" t="s">
        <v>1340</v>
      </c>
      <c r="B58" s="46" t="s">
        <v>46</v>
      </c>
      <c r="C58" s="44" t="s">
        <v>1000</v>
      </c>
      <c r="D58" s="47">
        <v>6062</v>
      </c>
      <c r="E58" s="46" t="s">
        <v>1003</v>
      </c>
      <c r="F58" s="35">
        <v>15000</v>
      </c>
      <c r="G58" s="40">
        <v>40000</v>
      </c>
      <c r="H58" s="35">
        <f>30000+15000</f>
        <v>45000</v>
      </c>
      <c r="I58" s="35">
        <f t="shared" si="0"/>
        <v>85000</v>
      </c>
      <c r="J58" s="36">
        <f t="shared" si="1"/>
        <v>1.125</v>
      </c>
      <c r="K58" s="48" t="s">
        <v>37</v>
      </c>
      <c r="L58" s="48" t="s">
        <v>37</v>
      </c>
      <c r="M58" s="38">
        <v>41455</v>
      </c>
      <c r="N58" s="48" t="s">
        <v>36</v>
      </c>
      <c r="O58" s="35">
        <v>15000</v>
      </c>
      <c r="P58" s="35"/>
      <c r="Q58" s="35"/>
    </row>
    <row r="59" spans="1:17" s="15" customFormat="1" ht="38.25" customHeight="1" x14ac:dyDescent="0.2">
      <c r="A59" s="43" t="s">
        <v>1428</v>
      </c>
      <c r="B59" s="46" t="s">
        <v>46</v>
      </c>
      <c r="C59" s="44" t="s">
        <v>1430</v>
      </c>
      <c r="D59" s="47" t="s">
        <v>41</v>
      </c>
      <c r="E59" s="46" t="s">
        <v>1432</v>
      </c>
      <c r="F59" s="35">
        <v>60000</v>
      </c>
      <c r="G59" s="40">
        <v>60000</v>
      </c>
      <c r="H59" s="35">
        <v>0</v>
      </c>
      <c r="I59" s="35">
        <f t="shared" si="0"/>
        <v>60000</v>
      </c>
      <c r="J59" s="36">
        <f t="shared" si="1"/>
        <v>0</v>
      </c>
      <c r="K59" s="48" t="s">
        <v>37</v>
      </c>
      <c r="L59" s="48" t="s">
        <v>37</v>
      </c>
      <c r="M59" s="38">
        <v>41577</v>
      </c>
      <c r="N59" s="48"/>
      <c r="O59" s="35">
        <v>60000</v>
      </c>
      <c r="P59" s="35"/>
      <c r="Q59" s="35"/>
    </row>
    <row r="60" spans="1:17" s="15" customFormat="1" ht="26.25" customHeight="1" x14ac:dyDescent="0.2">
      <c r="A60" s="43" t="s">
        <v>1088</v>
      </c>
      <c r="B60" s="46" t="s">
        <v>1091</v>
      </c>
      <c r="C60" s="44" t="s">
        <v>1095</v>
      </c>
      <c r="D60" s="34">
        <v>5411</v>
      </c>
      <c r="E60" s="46" t="s">
        <v>1098</v>
      </c>
      <c r="F60" s="35">
        <f>21745*3</f>
        <v>65235</v>
      </c>
      <c r="G60" s="40">
        <f>21745*3</f>
        <v>65235</v>
      </c>
      <c r="H60" s="35">
        <v>0</v>
      </c>
      <c r="I60" s="35">
        <f t="shared" si="0"/>
        <v>65235</v>
      </c>
      <c r="J60" s="36">
        <f t="shared" si="1"/>
        <v>0</v>
      </c>
      <c r="K60" s="48" t="s">
        <v>37</v>
      </c>
      <c r="L60" s="48" t="s">
        <v>37</v>
      </c>
      <c r="M60" s="38">
        <v>41670</v>
      </c>
      <c r="N60" s="48" t="s">
        <v>64</v>
      </c>
      <c r="O60" s="35">
        <v>21745</v>
      </c>
      <c r="P60" s="35">
        <v>21745</v>
      </c>
      <c r="Q60" s="35">
        <v>21745</v>
      </c>
    </row>
    <row r="61" spans="1:17" s="15" customFormat="1" ht="26.25" customHeight="1" x14ac:dyDescent="0.2">
      <c r="A61" s="43" t="s">
        <v>1103</v>
      </c>
      <c r="B61" s="46" t="s">
        <v>1091</v>
      </c>
      <c r="C61" s="44" t="s">
        <v>666</v>
      </c>
      <c r="D61" s="34">
        <v>5458</v>
      </c>
      <c r="E61" s="46" t="s">
        <v>1118</v>
      </c>
      <c r="F61" s="35">
        <f>28865*3</f>
        <v>86595</v>
      </c>
      <c r="G61" s="40">
        <f>28865*3</f>
        <v>86595</v>
      </c>
      <c r="H61" s="35">
        <v>0</v>
      </c>
      <c r="I61" s="35">
        <f t="shared" si="0"/>
        <v>86595</v>
      </c>
      <c r="J61" s="36">
        <f t="shared" si="1"/>
        <v>0</v>
      </c>
      <c r="K61" s="48" t="s">
        <v>37</v>
      </c>
      <c r="L61" s="48" t="s">
        <v>37</v>
      </c>
      <c r="M61" s="38">
        <v>41455</v>
      </c>
      <c r="N61" s="48" t="s">
        <v>64</v>
      </c>
      <c r="O61" s="35">
        <v>28865</v>
      </c>
      <c r="P61" s="35">
        <v>28865</v>
      </c>
      <c r="Q61" s="35">
        <v>28865</v>
      </c>
    </row>
    <row r="62" spans="1:17" s="15" customFormat="1" ht="26.25" customHeight="1" x14ac:dyDescent="0.2">
      <c r="A62" s="43" t="s">
        <v>896</v>
      </c>
      <c r="B62" s="46" t="s">
        <v>903</v>
      </c>
      <c r="C62" s="44" t="s">
        <v>906</v>
      </c>
      <c r="D62" s="34">
        <v>4819</v>
      </c>
      <c r="E62" s="46" t="s">
        <v>912</v>
      </c>
      <c r="F62" s="35">
        <v>47600</v>
      </c>
      <c r="G62" s="40">
        <v>47600</v>
      </c>
      <c r="H62" s="35">
        <v>0</v>
      </c>
      <c r="I62" s="35">
        <f t="shared" si="0"/>
        <v>47600</v>
      </c>
      <c r="J62" s="36">
        <f t="shared" si="1"/>
        <v>0</v>
      </c>
      <c r="K62" s="48" t="s">
        <v>37</v>
      </c>
      <c r="L62" s="48" t="s">
        <v>37</v>
      </c>
      <c r="M62" s="38">
        <v>41274</v>
      </c>
      <c r="N62" s="37"/>
      <c r="O62" s="35">
        <v>47600</v>
      </c>
      <c r="P62" s="35"/>
      <c r="Q62" s="35"/>
    </row>
    <row r="63" spans="1:17" s="15" customFormat="1" ht="26.25" customHeight="1" x14ac:dyDescent="0.2">
      <c r="A63" s="43" t="s">
        <v>173</v>
      </c>
      <c r="B63" s="46" t="s">
        <v>50</v>
      </c>
      <c r="C63" s="44" t="s">
        <v>217</v>
      </c>
      <c r="D63" s="34">
        <v>4188</v>
      </c>
      <c r="E63" s="46" t="s">
        <v>201</v>
      </c>
      <c r="F63" s="35">
        <v>25135</v>
      </c>
      <c r="G63" s="40">
        <v>25000</v>
      </c>
      <c r="H63" s="35">
        <f>11200+25135</f>
        <v>36335</v>
      </c>
      <c r="I63" s="35">
        <f t="shared" si="0"/>
        <v>61335</v>
      </c>
      <c r="J63" s="36">
        <f t="shared" si="1"/>
        <v>1.4534</v>
      </c>
      <c r="K63" s="48" t="s">
        <v>37</v>
      </c>
      <c r="L63" s="48" t="s">
        <v>37</v>
      </c>
      <c r="M63" s="38">
        <v>41274</v>
      </c>
      <c r="N63" s="48" t="s">
        <v>36</v>
      </c>
      <c r="O63" s="41">
        <v>25135</v>
      </c>
      <c r="P63" s="41"/>
      <c r="Q63" s="41"/>
    </row>
    <row r="64" spans="1:17" s="15" customFormat="1" ht="18" customHeight="1" x14ac:dyDescent="0.2">
      <c r="A64" s="43" t="s">
        <v>446</v>
      </c>
      <c r="B64" s="46" t="s">
        <v>50</v>
      </c>
      <c r="C64" s="44" t="s">
        <v>458</v>
      </c>
      <c r="D64" s="47">
        <v>4308</v>
      </c>
      <c r="E64" s="46" t="s">
        <v>472</v>
      </c>
      <c r="F64" s="35">
        <v>9000</v>
      </c>
      <c r="G64" s="40">
        <v>9000</v>
      </c>
      <c r="H64" s="35">
        <v>0</v>
      </c>
      <c r="I64" s="35">
        <f t="shared" si="0"/>
        <v>9000</v>
      </c>
      <c r="J64" s="36">
        <f t="shared" si="1"/>
        <v>0</v>
      </c>
      <c r="K64" s="48" t="s">
        <v>37</v>
      </c>
      <c r="L64" s="48" t="s">
        <v>37</v>
      </c>
      <c r="M64" s="38">
        <v>41274</v>
      </c>
      <c r="N64" s="48"/>
      <c r="O64" s="41">
        <v>9000</v>
      </c>
      <c r="P64" s="41"/>
      <c r="Q64" s="41"/>
    </row>
    <row r="65" spans="1:17" s="15" customFormat="1" ht="26.25" customHeight="1" x14ac:dyDescent="0.2">
      <c r="A65" s="43" t="s">
        <v>522</v>
      </c>
      <c r="B65" s="46" t="s">
        <v>50</v>
      </c>
      <c r="C65" s="44" t="s">
        <v>86</v>
      </c>
      <c r="D65" s="47">
        <v>4374</v>
      </c>
      <c r="E65" s="46" t="s">
        <v>529</v>
      </c>
      <c r="F65" s="35">
        <v>50211</v>
      </c>
      <c r="G65" s="40">
        <v>50211</v>
      </c>
      <c r="H65" s="35">
        <v>0</v>
      </c>
      <c r="I65" s="35">
        <f t="shared" si="0"/>
        <v>50211</v>
      </c>
      <c r="J65" s="36">
        <f t="shared" si="1"/>
        <v>0</v>
      </c>
      <c r="K65" s="48" t="s">
        <v>37</v>
      </c>
      <c r="L65" s="48" t="s">
        <v>37</v>
      </c>
      <c r="M65" s="38">
        <v>42247</v>
      </c>
      <c r="N65" s="48"/>
      <c r="O65" s="41">
        <v>50211</v>
      </c>
      <c r="P65" s="41"/>
      <c r="Q65" s="41"/>
    </row>
    <row r="66" spans="1:17" s="15" customFormat="1" ht="26.25" customHeight="1" x14ac:dyDescent="0.2">
      <c r="A66" s="43" t="s">
        <v>523</v>
      </c>
      <c r="B66" s="46" t="s">
        <v>50</v>
      </c>
      <c r="C66" s="44" t="s">
        <v>59</v>
      </c>
      <c r="D66" s="47">
        <v>4428</v>
      </c>
      <c r="E66" s="46" t="s">
        <v>530</v>
      </c>
      <c r="F66" s="35">
        <v>53375</v>
      </c>
      <c r="G66" s="40">
        <v>53375</v>
      </c>
      <c r="H66" s="35">
        <v>0</v>
      </c>
      <c r="I66" s="35">
        <f t="shared" ref="I66:I129" si="2">G66+H66</f>
        <v>53375</v>
      </c>
      <c r="J66" s="36">
        <f t="shared" ref="J66:J129" si="3">IF(G66=0,100%,(I66-G66)/G66)</f>
        <v>0</v>
      </c>
      <c r="K66" s="48" t="s">
        <v>37</v>
      </c>
      <c r="L66" s="48" t="s">
        <v>37</v>
      </c>
      <c r="M66" s="38">
        <v>41455</v>
      </c>
      <c r="N66" s="48"/>
      <c r="O66" s="41">
        <v>53375</v>
      </c>
      <c r="P66" s="41"/>
      <c r="Q66" s="41"/>
    </row>
    <row r="67" spans="1:17" s="15" customFormat="1" ht="26.25" customHeight="1" x14ac:dyDescent="0.2">
      <c r="A67" s="43" t="s">
        <v>536</v>
      </c>
      <c r="B67" s="46" t="s">
        <v>50</v>
      </c>
      <c r="C67" s="44" t="s">
        <v>58</v>
      </c>
      <c r="D67" s="47">
        <v>4187</v>
      </c>
      <c r="E67" s="46" t="s">
        <v>567</v>
      </c>
      <c r="F67" s="35">
        <v>9825</v>
      </c>
      <c r="G67" s="40">
        <v>35000</v>
      </c>
      <c r="H67" s="35">
        <f>9000+9825</f>
        <v>18825</v>
      </c>
      <c r="I67" s="35">
        <f t="shared" si="2"/>
        <v>53825</v>
      </c>
      <c r="J67" s="36">
        <f t="shared" si="3"/>
        <v>0.53785714285714281</v>
      </c>
      <c r="K67" s="48" t="s">
        <v>37</v>
      </c>
      <c r="L67" s="48" t="s">
        <v>37</v>
      </c>
      <c r="M67" s="38">
        <v>41274</v>
      </c>
      <c r="N67" s="48" t="s">
        <v>36</v>
      </c>
      <c r="O67" s="41">
        <v>9825</v>
      </c>
      <c r="P67" s="41"/>
      <c r="Q67" s="41"/>
    </row>
    <row r="68" spans="1:17" s="15" customFormat="1" ht="26.25" customHeight="1" x14ac:dyDescent="0.2">
      <c r="A68" s="43" t="s">
        <v>547</v>
      </c>
      <c r="B68" s="46" t="s">
        <v>50</v>
      </c>
      <c r="C68" s="44" t="s">
        <v>560</v>
      </c>
      <c r="D68" s="47">
        <v>4079</v>
      </c>
      <c r="E68" s="46" t="s">
        <v>577</v>
      </c>
      <c r="F68" s="35">
        <f>10112*3</f>
        <v>30336</v>
      </c>
      <c r="G68" s="40">
        <f>10112*3</f>
        <v>30336</v>
      </c>
      <c r="H68" s="35">
        <v>0</v>
      </c>
      <c r="I68" s="35">
        <f t="shared" si="2"/>
        <v>30336</v>
      </c>
      <c r="J68" s="36">
        <f t="shared" si="3"/>
        <v>0</v>
      </c>
      <c r="K68" s="48" t="s">
        <v>37</v>
      </c>
      <c r="L68" s="48" t="s">
        <v>37</v>
      </c>
      <c r="M68" s="38">
        <v>41455</v>
      </c>
      <c r="N68" s="48" t="s">
        <v>64</v>
      </c>
      <c r="O68" s="41">
        <v>10112</v>
      </c>
      <c r="P68" s="41">
        <v>10112</v>
      </c>
      <c r="Q68" s="41">
        <v>10112</v>
      </c>
    </row>
    <row r="69" spans="1:17" s="15" customFormat="1" ht="26.25" customHeight="1" x14ac:dyDescent="0.2">
      <c r="A69" s="43" t="s">
        <v>983</v>
      </c>
      <c r="B69" s="46" t="s">
        <v>50</v>
      </c>
      <c r="C69" s="44" t="s">
        <v>987</v>
      </c>
      <c r="D69" s="34">
        <v>4894</v>
      </c>
      <c r="E69" s="46" t="s">
        <v>992</v>
      </c>
      <c r="F69" s="35">
        <v>29900</v>
      </c>
      <c r="G69" s="40">
        <v>5000</v>
      </c>
      <c r="H69" s="35">
        <f>12000+8000+27000+30000+29900</f>
        <v>106900</v>
      </c>
      <c r="I69" s="35">
        <f t="shared" si="2"/>
        <v>111900</v>
      </c>
      <c r="J69" s="36">
        <f t="shared" si="3"/>
        <v>21.38</v>
      </c>
      <c r="K69" s="48" t="s">
        <v>37</v>
      </c>
      <c r="L69" s="48" t="s">
        <v>37</v>
      </c>
      <c r="M69" s="38">
        <v>41820</v>
      </c>
      <c r="N69" s="48" t="s">
        <v>36</v>
      </c>
      <c r="O69" s="35">
        <v>29900</v>
      </c>
      <c r="P69" s="35"/>
      <c r="Q69" s="35"/>
    </row>
    <row r="70" spans="1:17" s="15" customFormat="1" ht="26.25" customHeight="1" x14ac:dyDescent="0.2">
      <c r="A70" s="43" t="s">
        <v>1409</v>
      </c>
      <c r="B70" s="46" t="s">
        <v>50</v>
      </c>
      <c r="C70" s="44" t="s">
        <v>59</v>
      </c>
      <c r="D70" s="34">
        <v>6353</v>
      </c>
      <c r="E70" s="46" t="s">
        <v>1414</v>
      </c>
      <c r="F70" s="35">
        <v>74400</v>
      </c>
      <c r="G70" s="40">
        <v>74400</v>
      </c>
      <c r="H70" s="35">
        <v>0</v>
      </c>
      <c r="I70" s="35">
        <f t="shared" si="2"/>
        <v>74400</v>
      </c>
      <c r="J70" s="36">
        <f t="shared" si="3"/>
        <v>0</v>
      </c>
      <c r="K70" s="48" t="s">
        <v>37</v>
      </c>
      <c r="L70" s="48" t="s">
        <v>37</v>
      </c>
      <c r="M70" s="38">
        <v>41820</v>
      </c>
      <c r="N70" s="48"/>
      <c r="O70" s="35">
        <v>74400</v>
      </c>
      <c r="P70" s="35"/>
      <c r="Q70" s="35"/>
    </row>
    <row r="71" spans="1:17" s="15" customFormat="1" ht="38.25" customHeight="1" x14ac:dyDescent="0.2">
      <c r="A71" s="43" t="s">
        <v>1418</v>
      </c>
      <c r="B71" s="46" t="s">
        <v>50</v>
      </c>
      <c r="C71" s="44" t="s">
        <v>1421</v>
      </c>
      <c r="D71" s="47" t="s">
        <v>41</v>
      </c>
      <c r="E71" s="46" t="s">
        <v>1424</v>
      </c>
      <c r="F71" s="35">
        <v>31780</v>
      </c>
      <c r="G71" s="40">
        <v>31780</v>
      </c>
      <c r="H71" s="35">
        <v>0</v>
      </c>
      <c r="I71" s="35">
        <f t="shared" si="2"/>
        <v>31780</v>
      </c>
      <c r="J71" s="36">
        <f t="shared" si="3"/>
        <v>0</v>
      </c>
      <c r="K71" s="48" t="s">
        <v>37</v>
      </c>
      <c r="L71" s="48" t="s">
        <v>37</v>
      </c>
      <c r="M71" s="38">
        <v>41458</v>
      </c>
      <c r="N71" s="48"/>
      <c r="O71" s="35">
        <v>31780</v>
      </c>
      <c r="P71" s="35"/>
      <c r="Q71" s="35"/>
    </row>
    <row r="72" spans="1:17" s="15" customFormat="1" ht="38.25" customHeight="1" x14ac:dyDescent="0.2">
      <c r="A72" s="43" t="s">
        <v>1419</v>
      </c>
      <c r="B72" s="46" t="s">
        <v>50</v>
      </c>
      <c r="C72" s="44" t="s">
        <v>1422</v>
      </c>
      <c r="D72" s="47" t="s">
        <v>41</v>
      </c>
      <c r="E72" s="46" t="s">
        <v>1425</v>
      </c>
      <c r="F72" s="35">
        <v>45400</v>
      </c>
      <c r="G72" s="40">
        <v>45000</v>
      </c>
      <c r="H72" s="35">
        <v>0</v>
      </c>
      <c r="I72" s="35">
        <f t="shared" si="2"/>
        <v>45000</v>
      </c>
      <c r="J72" s="36">
        <f t="shared" si="3"/>
        <v>0</v>
      </c>
      <c r="K72" s="48" t="s">
        <v>37</v>
      </c>
      <c r="L72" s="48" t="s">
        <v>37</v>
      </c>
      <c r="M72" s="38">
        <v>41458</v>
      </c>
      <c r="N72" s="48"/>
      <c r="O72" s="35">
        <v>45400</v>
      </c>
      <c r="P72" s="35"/>
      <c r="Q72" s="35"/>
    </row>
    <row r="73" spans="1:17" s="15" customFormat="1" ht="38.25" customHeight="1" x14ac:dyDescent="0.2">
      <c r="A73" s="43" t="s">
        <v>1420</v>
      </c>
      <c r="B73" s="46" t="s">
        <v>50</v>
      </c>
      <c r="C73" s="44" t="s">
        <v>1423</v>
      </c>
      <c r="D73" s="47" t="s">
        <v>41</v>
      </c>
      <c r="E73" s="46" t="s">
        <v>1426</v>
      </c>
      <c r="F73" s="35">
        <v>31000</v>
      </c>
      <c r="G73" s="40">
        <v>31000</v>
      </c>
      <c r="H73" s="35">
        <v>0</v>
      </c>
      <c r="I73" s="35">
        <f t="shared" si="2"/>
        <v>31000</v>
      </c>
      <c r="J73" s="36">
        <f t="shared" si="3"/>
        <v>0</v>
      </c>
      <c r="K73" s="48" t="s">
        <v>37</v>
      </c>
      <c r="L73" s="48" t="s">
        <v>37</v>
      </c>
      <c r="M73" s="38">
        <v>41458</v>
      </c>
      <c r="N73" s="48"/>
      <c r="O73" s="35">
        <v>31000</v>
      </c>
      <c r="P73" s="35"/>
      <c r="Q73" s="35"/>
    </row>
    <row r="74" spans="1:17" s="15" customFormat="1" ht="26.25" customHeight="1" x14ac:dyDescent="0.2">
      <c r="A74" s="43" t="s">
        <v>1175</v>
      </c>
      <c r="B74" s="46" t="s">
        <v>1176</v>
      </c>
      <c r="C74" s="44" t="s">
        <v>1177</v>
      </c>
      <c r="D74" s="34">
        <v>5629</v>
      </c>
      <c r="E74" s="46" t="s">
        <v>1173</v>
      </c>
      <c r="F74" s="35">
        <v>5460</v>
      </c>
      <c r="G74" s="40">
        <v>5460</v>
      </c>
      <c r="H74" s="35">
        <v>0</v>
      </c>
      <c r="I74" s="35">
        <f t="shared" si="2"/>
        <v>5460</v>
      </c>
      <c r="J74" s="36">
        <f t="shared" si="3"/>
        <v>0</v>
      </c>
      <c r="K74" s="48" t="s">
        <v>37</v>
      </c>
      <c r="L74" s="48" t="s">
        <v>37</v>
      </c>
      <c r="M74" s="38">
        <v>41364</v>
      </c>
      <c r="N74" s="48"/>
      <c r="O74" s="35">
        <v>5460</v>
      </c>
      <c r="P74" s="35"/>
      <c r="Q74" s="35"/>
    </row>
    <row r="75" spans="1:17" s="15" customFormat="1" ht="38.25" customHeight="1" x14ac:dyDescent="0.2">
      <c r="A75" s="43" t="s">
        <v>1261</v>
      </c>
      <c r="B75" s="46" t="s">
        <v>1176</v>
      </c>
      <c r="C75" s="44" t="s">
        <v>1267</v>
      </c>
      <c r="D75" s="47" t="s">
        <v>41</v>
      </c>
      <c r="E75" s="46" t="s">
        <v>1272</v>
      </c>
      <c r="F75" s="35">
        <v>20500</v>
      </c>
      <c r="G75" s="40">
        <v>20500</v>
      </c>
      <c r="H75" s="35">
        <v>0</v>
      </c>
      <c r="I75" s="35">
        <f t="shared" si="2"/>
        <v>20500</v>
      </c>
      <c r="J75" s="36">
        <f t="shared" si="3"/>
        <v>0</v>
      </c>
      <c r="K75" s="48" t="s">
        <v>37</v>
      </c>
      <c r="L75" s="48" t="s">
        <v>37</v>
      </c>
      <c r="M75" s="38">
        <v>41455</v>
      </c>
      <c r="N75" s="48"/>
      <c r="O75" s="35">
        <v>20500</v>
      </c>
      <c r="P75" s="35"/>
      <c r="Q75" s="35"/>
    </row>
    <row r="76" spans="1:17" s="15" customFormat="1" ht="26.25" customHeight="1" x14ac:dyDescent="0.2">
      <c r="A76" s="43" t="s">
        <v>301</v>
      </c>
      <c r="B76" s="46" t="s">
        <v>47</v>
      </c>
      <c r="C76" s="44" t="s">
        <v>308</v>
      </c>
      <c r="D76" s="34">
        <v>3875</v>
      </c>
      <c r="E76" s="46" t="s">
        <v>62</v>
      </c>
      <c r="F76" s="35">
        <f>45000*3</f>
        <v>135000</v>
      </c>
      <c r="G76" s="40">
        <f>45000*3</f>
        <v>135000</v>
      </c>
      <c r="H76" s="35">
        <v>0</v>
      </c>
      <c r="I76" s="35">
        <f t="shared" si="2"/>
        <v>135000</v>
      </c>
      <c r="J76" s="36">
        <f t="shared" si="3"/>
        <v>0</v>
      </c>
      <c r="K76" s="48" t="s">
        <v>37</v>
      </c>
      <c r="L76" s="48" t="s">
        <v>42</v>
      </c>
      <c r="M76" s="38">
        <v>41455</v>
      </c>
      <c r="N76" s="48" t="s">
        <v>64</v>
      </c>
      <c r="O76" s="41">
        <v>45000</v>
      </c>
      <c r="P76" s="41">
        <v>45000</v>
      </c>
      <c r="Q76" s="41">
        <v>45000</v>
      </c>
    </row>
    <row r="77" spans="1:17" s="15" customFormat="1" ht="26.25" customHeight="1" x14ac:dyDescent="0.2">
      <c r="A77" s="43" t="s">
        <v>764</v>
      </c>
      <c r="B77" s="46" t="s">
        <v>47</v>
      </c>
      <c r="C77" s="44" t="s">
        <v>791</v>
      </c>
      <c r="D77" s="34">
        <v>4517</v>
      </c>
      <c r="E77" s="46" t="s">
        <v>778</v>
      </c>
      <c r="F77" s="35">
        <f>80000*3</f>
        <v>240000</v>
      </c>
      <c r="G77" s="40">
        <f>80000*3</f>
        <v>240000</v>
      </c>
      <c r="H77" s="35">
        <v>0</v>
      </c>
      <c r="I77" s="35">
        <f t="shared" si="2"/>
        <v>240000</v>
      </c>
      <c r="J77" s="36">
        <f t="shared" si="3"/>
        <v>0</v>
      </c>
      <c r="K77" s="48" t="s">
        <v>37</v>
      </c>
      <c r="L77" s="48" t="s">
        <v>37</v>
      </c>
      <c r="M77" s="38">
        <v>41608</v>
      </c>
      <c r="N77" s="48" t="s">
        <v>64</v>
      </c>
      <c r="O77" s="35">
        <v>80000</v>
      </c>
      <c r="P77" s="35">
        <v>80000</v>
      </c>
      <c r="Q77" s="35">
        <v>80000</v>
      </c>
    </row>
    <row r="78" spans="1:17" s="15" customFormat="1" ht="26.25" customHeight="1" x14ac:dyDescent="0.2">
      <c r="A78" s="43" t="s">
        <v>869</v>
      </c>
      <c r="B78" s="46" t="s">
        <v>47</v>
      </c>
      <c r="C78" s="44" t="s">
        <v>791</v>
      </c>
      <c r="D78" s="34">
        <v>4727</v>
      </c>
      <c r="E78" s="46" t="s">
        <v>877</v>
      </c>
      <c r="F78" s="35">
        <v>24425</v>
      </c>
      <c r="G78" s="40">
        <v>24425</v>
      </c>
      <c r="H78" s="35">
        <v>0</v>
      </c>
      <c r="I78" s="35">
        <f t="shared" si="2"/>
        <v>24425</v>
      </c>
      <c r="J78" s="36">
        <f t="shared" si="3"/>
        <v>0</v>
      </c>
      <c r="K78" s="48" t="s">
        <v>37</v>
      </c>
      <c r="L78" s="48" t="s">
        <v>37</v>
      </c>
      <c r="M78" s="38">
        <v>41243</v>
      </c>
      <c r="N78" s="37"/>
      <c r="O78" s="35">
        <v>24425</v>
      </c>
      <c r="P78" s="35"/>
      <c r="Q78" s="35"/>
    </row>
    <row r="79" spans="1:17" s="15" customFormat="1" ht="26.25" customHeight="1" x14ac:dyDescent="0.2">
      <c r="A79" s="43" t="s">
        <v>870</v>
      </c>
      <c r="B79" s="46" t="s">
        <v>47</v>
      </c>
      <c r="C79" s="44" t="s">
        <v>791</v>
      </c>
      <c r="D79" s="34">
        <v>4729</v>
      </c>
      <c r="E79" s="46" t="s">
        <v>878</v>
      </c>
      <c r="F79" s="35">
        <v>7613</v>
      </c>
      <c r="G79" s="40">
        <v>7613</v>
      </c>
      <c r="H79" s="35">
        <v>0</v>
      </c>
      <c r="I79" s="35">
        <f t="shared" si="2"/>
        <v>7613</v>
      </c>
      <c r="J79" s="36">
        <f t="shared" si="3"/>
        <v>0</v>
      </c>
      <c r="K79" s="48" t="s">
        <v>37</v>
      </c>
      <c r="L79" s="48" t="s">
        <v>37</v>
      </c>
      <c r="M79" s="38">
        <v>41243</v>
      </c>
      <c r="N79" s="37"/>
      <c r="O79" s="35">
        <v>7613</v>
      </c>
      <c r="P79" s="35"/>
      <c r="Q79" s="35"/>
    </row>
    <row r="80" spans="1:17" s="15" customFormat="1" ht="26.25" customHeight="1" x14ac:dyDescent="0.2">
      <c r="A80" s="43" t="s">
        <v>1189</v>
      </c>
      <c r="B80" s="46" t="s">
        <v>47</v>
      </c>
      <c r="C80" s="44" t="s">
        <v>1194</v>
      </c>
      <c r="D80" s="34">
        <v>5724</v>
      </c>
      <c r="E80" s="46" t="s">
        <v>1204</v>
      </c>
      <c r="F80" s="35">
        <f>45000*3</f>
        <v>135000</v>
      </c>
      <c r="G80" s="40">
        <f>45000*3</f>
        <v>135000</v>
      </c>
      <c r="H80" s="35">
        <v>0</v>
      </c>
      <c r="I80" s="35">
        <f t="shared" si="2"/>
        <v>135000</v>
      </c>
      <c r="J80" s="36">
        <f t="shared" si="3"/>
        <v>0</v>
      </c>
      <c r="K80" s="48" t="s">
        <v>37</v>
      </c>
      <c r="L80" s="48" t="s">
        <v>37</v>
      </c>
      <c r="M80" s="38">
        <v>41453</v>
      </c>
      <c r="N80" s="48" t="s">
        <v>64</v>
      </c>
      <c r="O80" s="35">
        <v>45000</v>
      </c>
      <c r="P80" s="35">
        <v>45000</v>
      </c>
      <c r="Q80" s="35">
        <v>45000</v>
      </c>
    </row>
    <row r="81" spans="1:17" s="15" customFormat="1" ht="26.25" customHeight="1" x14ac:dyDescent="0.2">
      <c r="A81" s="43" t="s">
        <v>1248</v>
      </c>
      <c r="B81" s="46" t="s">
        <v>47</v>
      </c>
      <c r="C81" s="44" t="s">
        <v>791</v>
      </c>
      <c r="D81" s="47">
        <v>5769</v>
      </c>
      <c r="E81" s="46" t="s">
        <v>1239</v>
      </c>
      <c r="F81" s="35">
        <v>23000</v>
      </c>
      <c r="G81" s="40">
        <v>23000</v>
      </c>
      <c r="H81" s="35">
        <v>0</v>
      </c>
      <c r="I81" s="35">
        <f t="shared" si="2"/>
        <v>23000</v>
      </c>
      <c r="J81" s="36">
        <f t="shared" si="3"/>
        <v>0</v>
      </c>
      <c r="K81" s="48" t="s">
        <v>37</v>
      </c>
      <c r="L81" s="48" t="s">
        <v>37</v>
      </c>
      <c r="M81" s="38">
        <v>41362</v>
      </c>
      <c r="N81" s="48"/>
      <c r="O81" s="35">
        <v>23000</v>
      </c>
      <c r="P81" s="35"/>
      <c r="Q81" s="35"/>
    </row>
    <row r="82" spans="1:17" s="15" customFormat="1" ht="26.25" customHeight="1" x14ac:dyDescent="0.2">
      <c r="A82" s="43" t="s">
        <v>259</v>
      </c>
      <c r="B82" s="46" t="s">
        <v>281</v>
      </c>
      <c r="C82" s="44" t="s">
        <v>290</v>
      </c>
      <c r="D82" s="34">
        <v>4161</v>
      </c>
      <c r="E82" s="46" t="s">
        <v>275</v>
      </c>
      <c r="F82" s="35">
        <v>60000</v>
      </c>
      <c r="G82" s="40">
        <v>60000</v>
      </c>
      <c r="H82" s="35">
        <v>0</v>
      </c>
      <c r="I82" s="35">
        <f t="shared" si="2"/>
        <v>60000</v>
      </c>
      <c r="J82" s="36">
        <f t="shared" si="3"/>
        <v>0</v>
      </c>
      <c r="K82" s="48" t="s">
        <v>37</v>
      </c>
      <c r="L82" s="48" t="s">
        <v>37</v>
      </c>
      <c r="M82" s="38">
        <v>41639</v>
      </c>
      <c r="N82" s="37"/>
      <c r="O82" s="41">
        <v>60000</v>
      </c>
      <c r="P82" s="41"/>
      <c r="Q82" s="41"/>
    </row>
    <row r="83" spans="1:17" s="15" customFormat="1" ht="26.25" customHeight="1" x14ac:dyDescent="0.2">
      <c r="A83" s="43" t="s">
        <v>258</v>
      </c>
      <c r="B83" s="46" t="s">
        <v>125</v>
      </c>
      <c r="C83" s="44" t="s">
        <v>289</v>
      </c>
      <c r="D83" s="47" t="s">
        <v>294</v>
      </c>
      <c r="E83" s="46" t="s">
        <v>274</v>
      </c>
      <c r="F83" s="35">
        <v>45000</v>
      </c>
      <c r="G83" s="40">
        <v>39400</v>
      </c>
      <c r="H83" s="35">
        <f>45000+90000+50000+45000</f>
        <v>230000</v>
      </c>
      <c r="I83" s="35">
        <f t="shared" si="2"/>
        <v>269400</v>
      </c>
      <c r="J83" s="36">
        <f t="shared" si="3"/>
        <v>5.8375634517766501</v>
      </c>
      <c r="K83" s="48" t="s">
        <v>37</v>
      </c>
      <c r="L83" s="48" t="s">
        <v>37</v>
      </c>
      <c r="M83" s="38">
        <v>41090</v>
      </c>
      <c r="N83" s="48" t="s">
        <v>36</v>
      </c>
      <c r="O83" s="41">
        <v>45000</v>
      </c>
      <c r="P83" s="41"/>
      <c r="Q83" s="41"/>
    </row>
    <row r="84" spans="1:17" s="15" customFormat="1" ht="26.25" customHeight="1" x14ac:dyDescent="0.2">
      <c r="A84" s="43" t="s">
        <v>261</v>
      </c>
      <c r="B84" s="46" t="s">
        <v>125</v>
      </c>
      <c r="C84" s="44" t="s">
        <v>81</v>
      </c>
      <c r="D84" s="47" t="s">
        <v>296</v>
      </c>
      <c r="E84" s="46" t="s">
        <v>277</v>
      </c>
      <c r="F84" s="35">
        <v>50000</v>
      </c>
      <c r="G84" s="40">
        <v>50000</v>
      </c>
      <c r="H84" s="35">
        <v>50000</v>
      </c>
      <c r="I84" s="35">
        <f t="shared" si="2"/>
        <v>100000</v>
      </c>
      <c r="J84" s="36">
        <f t="shared" si="3"/>
        <v>1</v>
      </c>
      <c r="K84" s="48" t="s">
        <v>37</v>
      </c>
      <c r="L84" s="48" t="s">
        <v>37</v>
      </c>
      <c r="M84" s="38">
        <v>41455</v>
      </c>
      <c r="N84" s="48" t="s">
        <v>36</v>
      </c>
      <c r="O84" s="41">
        <v>50000</v>
      </c>
      <c r="P84" s="41"/>
      <c r="Q84" s="41"/>
    </row>
    <row r="85" spans="1:17" s="15" customFormat="1" ht="26.25" customHeight="1" x14ac:dyDescent="0.2">
      <c r="A85" s="43" t="s">
        <v>166</v>
      </c>
      <c r="B85" s="46" t="s">
        <v>21</v>
      </c>
      <c r="C85" s="44" t="s">
        <v>214</v>
      </c>
      <c r="D85" s="34">
        <v>4146</v>
      </c>
      <c r="E85" s="46" t="s">
        <v>194</v>
      </c>
      <c r="F85" s="35">
        <v>36000</v>
      </c>
      <c r="G85" s="40">
        <v>12000</v>
      </c>
      <c r="H85" s="35">
        <f>10000+36000</f>
        <v>46000</v>
      </c>
      <c r="I85" s="35">
        <f t="shared" si="2"/>
        <v>58000</v>
      </c>
      <c r="J85" s="36">
        <f t="shared" si="3"/>
        <v>3.8333333333333335</v>
      </c>
      <c r="K85" s="48" t="s">
        <v>37</v>
      </c>
      <c r="L85" s="48" t="s">
        <v>37</v>
      </c>
      <c r="M85" s="38">
        <v>41455</v>
      </c>
      <c r="N85" s="48" t="s">
        <v>36</v>
      </c>
      <c r="O85" s="41">
        <v>36000</v>
      </c>
      <c r="P85" s="41"/>
      <c r="Q85" s="41"/>
    </row>
    <row r="86" spans="1:17" s="15" customFormat="1" ht="26.25" customHeight="1" x14ac:dyDescent="0.2">
      <c r="A86" s="43" t="s">
        <v>167</v>
      </c>
      <c r="B86" s="46" t="s">
        <v>21</v>
      </c>
      <c r="C86" s="44" t="s">
        <v>90</v>
      </c>
      <c r="D86" s="34">
        <v>4150</v>
      </c>
      <c r="E86" s="46" t="s">
        <v>195</v>
      </c>
      <c r="F86" s="35">
        <f>31294*2</f>
        <v>62588</v>
      </c>
      <c r="G86" s="40">
        <f>31294+31294</f>
        <v>62588</v>
      </c>
      <c r="H86" s="35">
        <v>0</v>
      </c>
      <c r="I86" s="35">
        <f t="shared" si="2"/>
        <v>62588</v>
      </c>
      <c r="J86" s="36">
        <f t="shared" si="3"/>
        <v>0</v>
      </c>
      <c r="K86" s="48" t="s">
        <v>37</v>
      </c>
      <c r="L86" s="48" t="s">
        <v>37</v>
      </c>
      <c r="M86" s="38">
        <v>41274</v>
      </c>
      <c r="N86" s="48" t="s">
        <v>64</v>
      </c>
      <c r="O86" s="41">
        <v>31294</v>
      </c>
      <c r="P86" s="41">
        <v>31294</v>
      </c>
      <c r="Q86" s="41"/>
    </row>
    <row r="87" spans="1:17" s="15" customFormat="1" ht="26.25" customHeight="1" x14ac:dyDescent="0.2">
      <c r="A87" s="43" t="s">
        <v>171</v>
      </c>
      <c r="B87" s="46" t="s">
        <v>21</v>
      </c>
      <c r="C87" s="44" t="s">
        <v>22</v>
      </c>
      <c r="D87" s="34">
        <v>4163</v>
      </c>
      <c r="E87" s="46" t="s">
        <v>199</v>
      </c>
      <c r="F87" s="35">
        <v>17000</v>
      </c>
      <c r="G87" s="40">
        <v>17000</v>
      </c>
      <c r="H87" s="35">
        <v>0</v>
      </c>
      <c r="I87" s="35">
        <f t="shared" si="2"/>
        <v>17000</v>
      </c>
      <c r="J87" s="36">
        <f t="shared" si="3"/>
        <v>0</v>
      </c>
      <c r="K87" s="48" t="s">
        <v>37</v>
      </c>
      <c r="L87" s="48" t="s">
        <v>37</v>
      </c>
      <c r="M87" s="38">
        <v>41455</v>
      </c>
      <c r="N87" s="37"/>
      <c r="O87" s="41">
        <v>17000</v>
      </c>
      <c r="P87" s="41"/>
      <c r="Q87" s="41"/>
    </row>
    <row r="88" spans="1:17" s="15" customFormat="1" ht="26.25" customHeight="1" x14ac:dyDescent="0.2">
      <c r="A88" s="43" t="s">
        <v>250</v>
      </c>
      <c r="B88" s="46" t="s">
        <v>21</v>
      </c>
      <c r="C88" s="44" t="s">
        <v>283</v>
      </c>
      <c r="D88" s="34">
        <v>4048</v>
      </c>
      <c r="E88" s="46" t="s">
        <v>268</v>
      </c>
      <c r="F88" s="35">
        <f>80770*2</f>
        <v>161540</v>
      </c>
      <c r="G88" s="40">
        <f>80770*2</f>
        <v>161540</v>
      </c>
      <c r="H88" s="35">
        <v>0</v>
      </c>
      <c r="I88" s="35">
        <f t="shared" si="2"/>
        <v>161540</v>
      </c>
      <c r="J88" s="36">
        <f t="shared" si="3"/>
        <v>0</v>
      </c>
      <c r="K88" s="48" t="s">
        <v>37</v>
      </c>
      <c r="L88" s="48" t="s">
        <v>37</v>
      </c>
      <c r="M88" s="38">
        <v>41455</v>
      </c>
      <c r="N88" s="48" t="s">
        <v>64</v>
      </c>
      <c r="O88" s="41">
        <v>80770</v>
      </c>
      <c r="P88" s="41">
        <v>80770</v>
      </c>
      <c r="Q88" s="41"/>
    </row>
    <row r="89" spans="1:17" s="15" customFormat="1" ht="26.25" customHeight="1" x14ac:dyDescent="0.2">
      <c r="A89" s="43" t="s">
        <v>451</v>
      </c>
      <c r="B89" s="46" t="s">
        <v>21</v>
      </c>
      <c r="C89" s="44" t="s">
        <v>107</v>
      </c>
      <c r="D89" s="47">
        <v>4160</v>
      </c>
      <c r="E89" s="46" t="s">
        <v>477</v>
      </c>
      <c r="F89" s="35">
        <v>34500</v>
      </c>
      <c r="G89" s="40">
        <v>72000</v>
      </c>
      <c r="H89" s="35">
        <f>27500+34500</f>
        <v>62000</v>
      </c>
      <c r="I89" s="35">
        <f t="shared" si="2"/>
        <v>134000</v>
      </c>
      <c r="J89" s="36">
        <f t="shared" si="3"/>
        <v>0.86111111111111116</v>
      </c>
      <c r="K89" s="48" t="s">
        <v>37</v>
      </c>
      <c r="L89" s="48" t="s">
        <v>37</v>
      </c>
      <c r="M89" s="38">
        <v>41274</v>
      </c>
      <c r="N89" s="48" t="s">
        <v>36</v>
      </c>
      <c r="O89" s="41">
        <v>34500</v>
      </c>
      <c r="P89" s="41"/>
      <c r="Q89" s="41"/>
    </row>
    <row r="90" spans="1:17" s="15" customFormat="1" ht="26.25" customHeight="1" x14ac:dyDescent="0.2">
      <c r="A90" s="43" t="s">
        <v>768</v>
      </c>
      <c r="B90" s="46" t="s">
        <v>21</v>
      </c>
      <c r="C90" s="44" t="s">
        <v>107</v>
      </c>
      <c r="D90" s="34">
        <v>4967</v>
      </c>
      <c r="E90" s="46" t="s">
        <v>477</v>
      </c>
      <c r="F90" s="35">
        <v>30000</v>
      </c>
      <c r="G90" s="40">
        <v>72000</v>
      </c>
      <c r="H90" s="35">
        <f>27500+34500+30000</f>
        <v>92000</v>
      </c>
      <c r="I90" s="35">
        <f t="shared" si="2"/>
        <v>164000</v>
      </c>
      <c r="J90" s="36">
        <f t="shared" si="3"/>
        <v>1.2777777777777777</v>
      </c>
      <c r="K90" s="48" t="s">
        <v>37</v>
      </c>
      <c r="L90" s="48" t="s">
        <v>37</v>
      </c>
      <c r="M90" s="38">
        <v>41274</v>
      </c>
      <c r="N90" s="48" t="s">
        <v>36</v>
      </c>
      <c r="O90" s="35">
        <v>30000</v>
      </c>
      <c r="P90" s="35"/>
      <c r="Q90" s="35"/>
    </row>
    <row r="91" spans="1:17" s="15" customFormat="1" ht="26.25" customHeight="1" x14ac:dyDescent="0.2">
      <c r="A91" s="43" t="s">
        <v>1063</v>
      </c>
      <c r="B91" s="46" t="s">
        <v>21</v>
      </c>
      <c r="C91" s="44" t="s">
        <v>1069</v>
      </c>
      <c r="D91" s="34">
        <v>5349</v>
      </c>
      <c r="E91" s="46" t="s">
        <v>1076</v>
      </c>
      <c r="F91" s="35">
        <v>40385</v>
      </c>
      <c r="G91" s="40">
        <v>40385</v>
      </c>
      <c r="H91" s="35">
        <v>0</v>
      </c>
      <c r="I91" s="35">
        <f t="shared" si="2"/>
        <v>40385</v>
      </c>
      <c r="J91" s="36">
        <f t="shared" si="3"/>
        <v>0</v>
      </c>
      <c r="K91" s="48" t="s">
        <v>37</v>
      </c>
      <c r="L91" s="48" t="s">
        <v>37</v>
      </c>
      <c r="M91" s="38">
        <v>41362</v>
      </c>
      <c r="N91" s="48"/>
      <c r="O91" s="35">
        <v>40385</v>
      </c>
      <c r="P91" s="35"/>
      <c r="Q91" s="35"/>
    </row>
    <row r="92" spans="1:17" s="15" customFormat="1" ht="26.25" customHeight="1" x14ac:dyDescent="0.2">
      <c r="A92" s="43" t="s">
        <v>1065</v>
      </c>
      <c r="B92" s="46" t="s">
        <v>21</v>
      </c>
      <c r="C92" s="44" t="s">
        <v>1071</v>
      </c>
      <c r="D92" s="34">
        <v>5366</v>
      </c>
      <c r="E92" s="46" t="s">
        <v>1078</v>
      </c>
      <c r="F92" s="35">
        <v>24597</v>
      </c>
      <c r="G92" s="40">
        <v>24597</v>
      </c>
      <c r="H92" s="35">
        <v>0</v>
      </c>
      <c r="I92" s="35">
        <f t="shared" si="2"/>
        <v>24597</v>
      </c>
      <c r="J92" s="36">
        <f t="shared" si="3"/>
        <v>0</v>
      </c>
      <c r="K92" s="48" t="s">
        <v>37</v>
      </c>
      <c r="L92" s="48" t="s">
        <v>37</v>
      </c>
      <c r="M92" s="38">
        <v>41362</v>
      </c>
      <c r="N92" s="48"/>
      <c r="O92" s="35">
        <v>24597</v>
      </c>
      <c r="P92" s="35"/>
      <c r="Q92" s="35"/>
    </row>
    <row r="93" spans="1:17" s="15" customFormat="1" ht="26.25" customHeight="1" x14ac:dyDescent="0.2">
      <c r="A93" s="43" t="s">
        <v>1132</v>
      </c>
      <c r="B93" s="46" t="s">
        <v>21</v>
      </c>
      <c r="C93" s="44" t="s">
        <v>1137</v>
      </c>
      <c r="D93" s="34">
        <v>5581</v>
      </c>
      <c r="E93" s="46" t="s">
        <v>1139</v>
      </c>
      <c r="F93" s="35">
        <v>16740</v>
      </c>
      <c r="G93" s="40">
        <v>16740</v>
      </c>
      <c r="H93" s="35">
        <v>0</v>
      </c>
      <c r="I93" s="35">
        <f t="shared" si="2"/>
        <v>16740</v>
      </c>
      <c r="J93" s="36">
        <f t="shared" si="3"/>
        <v>0</v>
      </c>
      <c r="K93" s="48" t="s">
        <v>37</v>
      </c>
      <c r="L93" s="48" t="s">
        <v>37</v>
      </c>
      <c r="M93" s="38">
        <v>41362</v>
      </c>
      <c r="N93" s="48"/>
      <c r="O93" s="35">
        <v>16740</v>
      </c>
      <c r="P93" s="35"/>
      <c r="Q93" s="35"/>
    </row>
    <row r="94" spans="1:17" s="15" customFormat="1" ht="26.25" customHeight="1" x14ac:dyDescent="0.2">
      <c r="A94" s="43" t="s">
        <v>1145</v>
      </c>
      <c r="B94" s="46" t="s">
        <v>21</v>
      </c>
      <c r="C94" s="44" t="s">
        <v>107</v>
      </c>
      <c r="D94" s="34">
        <v>5476</v>
      </c>
      <c r="E94" s="46" t="s">
        <v>477</v>
      </c>
      <c r="F94" s="35">
        <v>30000</v>
      </c>
      <c r="G94" s="40">
        <v>72000</v>
      </c>
      <c r="H94" s="35">
        <f>27500+34500+30000+30000</f>
        <v>122000</v>
      </c>
      <c r="I94" s="35">
        <f t="shared" si="2"/>
        <v>194000</v>
      </c>
      <c r="J94" s="36">
        <f t="shared" si="3"/>
        <v>1.6944444444444444</v>
      </c>
      <c r="K94" s="48" t="s">
        <v>37</v>
      </c>
      <c r="L94" s="48" t="s">
        <v>37</v>
      </c>
      <c r="M94" s="38">
        <v>41362</v>
      </c>
      <c r="N94" s="48" t="s">
        <v>36</v>
      </c>
      <c r="O94" s="35">
        <v>30000</v>
      </c>
      <c r="P94" s="35"/>
      <c r="Q94" s="35"/>
    </row>
    <row r="95" spans="1:17" s="15" customFormat="1" ht="26.25" customHeight="1" x14ac:dyDescent="0.2">
      <c r="A95" s="43" t="s">
        <v>1185</v>
      </c>
      <c r="B95" s="46" t="s">
        <v>21</v>
      </c>
      <c r="C95" s="44" t="s">
        <v>214</v>
      </c>
      <c r="D95" s="47" t="s">
        <v>1198</v>
      </c>
      <c r="E95" s="46" t="s">
        <v>1200</v>
      </c>
      <c r="F95" s="35">
        <v>9000</v>
      </c>
      <c r="G95" s="40">
        <v>10000</v>
      </c>
      <c r="H95" s="35">
        <f>12000+36000+9000</f>
        <v>57000</v>
      </c>
      <c r="I95" s="35">
        <f t="shared" si="2"/>
        <v>67000</v>
      </c>
      <c r="J95" s="36">
        <f t="shared" si="3"/>
        <v>5.7</v>
      </c>
      <c r="K95" s="48" t="s">
        <v>37</v>
      </c>
      <c r="L95" s="48" t="s">
        <v>37</v>
      </c>
      <c r="M95" s="38">
        <v>41455</v>
      </c>
      <c r="N95" s="48" t="s">
        <v>36</v>
      </c>
      <c r="O95" s="35">
        <v>9000</v>
      </c>
      <c r="P95" s="35"/>
      <c r="Q95" s="35"/>
    </row>
    <row r="96" spans="1:17" s="15" customFormat="1" ht="26.25" customHeight="1" x14ac:dyDescent="0.2">
      <c r="A96" s="43" t="s">
        <v>1262</v>
      </c>
      <c r="B96" s="46" t="s">
        <v>21</v>
      </c>
      <c r="C96" s="44" t="s">
        <v>22</v>
      </c>
      <c r="D96" s="47">
        <v>5872</v>
      </c>
      <c r="E96" s="46" t="s">
        <v>1273</v>
      </c>
      <c r="F96" s="35">
        <v>7000</v>
      </c>
      <c r="G96" s="40">
        <v>7000</v>
      </c>
      <c r="H96" s="35">
        <v>0</v>
      </c>
      <c r="I96" s="35">
        <f t="shared" si="2"/>
        <v>7000</v>
      </c>
      <c r="J96" s="36">
        <f t="shared" si="3"/>
        <v>0</v>
      </c>
      <c r="K96" s="48" t="s">
        <v>37</v>
      </c>
      <c r="L96" s="48" t="s">
        <v>37</v>
      </c>
      <c r="M96" s="38">
        <v>41455</v>
      </c>
      <c r="N96" s="48"/>
      <c r="O96" s="35">
        <v>7000</v>
      </c>
      <c r="P96" s="35"/>
      <c r="Q96" s="35"/>
    </row>
    <row r="97" spans="1:18" s="15" customFormat="1" ht="26.25" customHeight="1" x14ac:dyDescent="0.2">
      <c r="A97" s="43" t="s">
        <v>583</v>
      </c>
      <c r="B97" s="46" t="s">
        <v>76</v>
      </c>
      <c r="C97" s="44" t="s">
        <v>595</v>
      </c>
      <c r="D97" s="34">
        <v>4448</v>
      </c>
      <c r="E97" s="46" t="s">
        <v>110</v>
      </c>
      <c r="F97" s="35">
        <v>44600</v>
      </c>
      <c r="G97" s="40">
        <v>48000</v>
      </c>
      <c r="H97" s="35">
        <v>44600</v>
      </c>
      <c r="I97" s="35">
        <f t="shared" si="2"/>
        <v>92600</v>
      </c>
      <c r="J97" s="36">
        <f t="shared" si="3"/>
        <v>0.9291666666666667</v>
      </c>
      <c r="K97" s="48" t="s">
        <v>37</v>
      </c>
      <c r="L97" s="48" t="s">
        <v>37</v>
      </c>
      <c r="M97" s="38">
        <v>41639</v>
      </c>
      <c r="N97" s="48" t="s">
        <v>36</v>
      </c>
      <c r="O97" s="35">
        <v>44600</v>
      </c>
      <c r="P97" s="35"/>
      <c r="Q97" s="35"/>
    </row>
    <row r="98" spans="1:18" s="15" customFormat="1" ht="18" customHeight="1" x14ac:dyDescent="0.2">
      <c r="A98" s="43" t="s">
        <v>639</v>
      </c>
      <c r="B98" s="46" t="s">
        <v>76</v>
      </c>
      <c r="C98" s="44" t="s">
        <v>78</v>
      </c>
      <c r="D98" s="34">
        <v>4669</v>
      </c>
      <c r="E98" s="46" t="s">
        <v>651</v>
      </c>
      <c r="F98" s="35">
        <f>8950*3</f>
        <v>26850</v>
      </c>
      <c r="G98" s="40">
        <f>8950*3</f>
        <v>26850</v>
      </c>
      <c r="H98" s="35">
        <v>0</v>
      </c>
      <c r="I98" s="35">
        <f t="shared" si="2"/>
        <v>26850</v>
      </c>
      <c r="J98" s="36">
        <f t="shared" si="3"/>
        <v>0</v>
      </c>
      <c r="K98" s="48" t="s">
        <v>37</v>
      </c>
      <c r="L98" s="48" t="s">
        <v>42</v>
      </c>
      <c r="M98" s="38">
        <v>41455</v>
      </c>
      <c r="N98" s="48" t="s">
        <v>64</v>
      </c>
      <c r="O98" s="35">
        <v>8950</v>
      </c>
      <c r="P98" s="35">
        <v>8950</v>
      </c>
      <c r="Q98" s="35">
        <v>8950</v>
      </c>
    </row>
    <row r="99" spans="1:18" s="15" customFormat="1" ht="26.25" customHeight="1" x14ac:dyDescent="0.2">
      <c r="A99" s="43" t="s">
        <v>690</v>
      </c>
      <c r="B99" s="46" t="s">
        <v>76</v>
      </c>
      <c r="C99" s="44" t="s">
        <v>707</v>
      </c>
      <c r="D99" s="34">
        <v>4703</v>
      </c>
      <c r="E99" s="46" t="s">
        <v>699</v>
      </c>
      <c r="F99" s="35">
        <f>42222*3</f>
        <v>126666</v>
      </c>
      <c r="G99" s="40">
        <f>42222*3</f>
        <v>126666</v>
      </c>
      <c r="H99" s="35">
        <v>0</v>
      </c>
      <c r="I99" s="35">
        <f t="shared" si="2"/>
        <v>126666</v>
      </c>
      <c r="J99" s="36">
        <f t="shared" si="3"/>
        <v>0</v>
      </c>
      <c r="K99" s="48" t="s">
        <v>37</v>
      </c>
      <c r="L99" s="48" t="s">
        <v>37</v>
      </c>
      <c r="M99" s="38">
        <v>41517</v>
      </c>
      <c r="N99" s="48" t="s">
        <v>64</v>
      </c>
      <c r="O99" s="35">
        <v>42222</v>
      </c>
      <c r="P99" s="35">
        <v>42222</v>
      </c>
      <c r="Q99" s="35">
        <v>42222</v>
      </c>
    </row>
    <row r="100" spans="1:18" s="15" customFormat="1" ht="26.25" customHeight="1" x14ac:dyDescent="0.2">
      <c r="A100" s="43" t="s">
        <v>691</v>
      </c>
      <c r="B100" s="46" t="s">
        <v>76</v>
      </c>
      <c r="C100" s="44" t="s">
        <v>708</v>
      </c>
      <c r="D100" s="34">
        <v>4711</v>
      </c>
      <c r="E100" s="46" t="s">
        <v>700</v>
      </c>
      <c r="F100" s="35">
        <f>5500*3</f>
        <v>16500</v>
      </c>
      <c r="G100" s="40">
        <f>5500*3</f>
        <v>16500</v>
      </c>
      <c r="H100" s="35">
        <v>0</v>
      </c>
      <c r="I100" s="35">
        <f t="shared" si="2"/>
        <v>16500</v>
      </c>
      <c r="J100" s="36">
        <f t="shared" si="3"/>
        <v>0</v>
      </c>
      <c r="K100" s="48" t="s">
        <v>37</v>
      </c>
      <c r="L100" s="48" t="s">
        <v>37</v>
      </c>
      <c r="M100" s="38">
        <v>41455</v>
      </c>
      <c r="N100" s="48" t="s">
        <v>64</v>
      </c>
      <c r="O100" s="35">
        <v>5500</v>
      </c>
      <c r="P100" s="35">
        <v>5500</v>
      </c>
      <c r="Q100" s="35">
        <v>5500</v>
      </c>
    </row>
    <row r="101" spans="1:18" s="15" customFormat="1" ht="26.25" customHeight="1" x14ac:dyDescent="0.2">
      <c r="A101" s="43" t="s">
        <v>692</v>
      </c>
      <c r="B101" s="46" t="s">
        <v>76</v>
      </c>
      <c r="C101" s="44" t="s">
        <v>709</v>
      </c>
      <c r="D101" s="34">
        <v>4713</v>
      </c>
      <c r="E101" s="46" t="s">
        <v>701</v>
      </c>
      <c r="F101" s="35">
        <f>7500*3</f>
        <v>22500</v>
      </c>
      <c r="G101" s="40">
        <f>7500*3</f>
        <v>22500</v>
      </c>
      <c r="H101" s="35">
        <v>0</v>
      </c>
      <c r="I101" s="35">
        <f t="shared" si="2"/>
        <v>22500</v>
      </c>
      <c r="J101" s="36">
        <f t="shared" si="3"/>
        <v>0</v>
      </c>
      <c r="K101" s="48" t="s">
        <v>37</v>
      </c>
      <c r="L101" s="48" t="s">
        <v>37</v>
      </c>
      <c r="M101" s="38">
        <v>41455</v>
      </c>
      <c r="N101" s="48" t="s">
        <v>64</v>
      </c>
      <c r="O101" s="35">
        <v>7500</v>
      </c>
      <c r="P101" s="35">
        <v>7500</v>
      </c>
      <c r="Q101" s="35">
        <v>7500</v>
      </c>
    </row>
    <row r="102" spans="1:18" s="15" customFormat="1" ht="26.25" customHeight="1" x14ac:dyDescent="0.2">
      <c r="A102" s="43" t="s">
        <v>693</v>
      </c>
      <c r="B102" s="46" t="s">
        <v>76</v>
      </c>
      <c r="C102" s="44" t="s">
        <v>710</v>
      </c>
      <c r="D102" s="34">
        <v>4717</v>
      </c>
      <c r="E102" s="46" t="s">
        <v>702</v>
      </c>
      <c r="F102" s="35">
        <f>25000*3</f>
        <v>75000</v>
      </c>
      <c r="G102" s="40">
        <f>25000*3</f>
        <v>75000</v>
      </c>
      <c r="H102" s="35">
        <v>0</v>
      </c>
      <c r="I102" s="35">
        <f t="shared" si="2"/>
        <v>75000</v>
      </c>
      <c r="J102" s="36">
        <f t="shared" si="3"/>
        <v>0</v>
      </c>
      <c r="K102" s="48" t="s">
        <v>37</v>
      </c>
      <c r="L102" s="48" t="s">
        <v>37</v>
      </c>
      <c r="M102" s="38">
        <v>41455</v>
      </c>
      <c r="N102" s="48" t="s">
        <v>64</v>
      </c>
      <c r="O102" s="35">
        <v>25000</v>
      </c>
      <c r="P102" s="35">
        <v>25000</v>
      </c>
      <c r="Q102" s="35">
        <v>25000</v>
      </c>
    </row>
    <row r="103" spans="1:18" s="15" customFormat="1" ht="26.25" customHeight="1" x14ac:dyDescent="0.2">
      <c r="A103" s="43" t="s">
        <v>736</v>
      </c>
      <c r="B103" s="46" t="s">
        <v>76</v>
      </c>
      <c r="C103" s="44" t="s">
        <v>757</v>
      </c>
      <c r="D103" s="47" t="s">
        <v>41</v>
      </c>
      <c r="E103" s="46" t="s">
        <v>747</v>
      </c>
      <c r="F103" s="35">
        <v>30000</v>
      </c>
      <c r="G103" s="40">
        <v>30000</v>
      </c>
      <c r="H103" s="35">
        <v>0</v>
      </c>
      <c r="I103" s="35">
        <f t="shared" si="2"/>
        <v>30000</v>
      </c>
      <c r="J103" s="36">
        <f t="shared" si="3"/>
        <v>0</v>
      </c>
      <c r="K103" s="48" t="s">
        <v>37</v>
      </c>
      <c r="L103" s="48" t="s">
        <v>37</v>
      </c>
      <c r="M103" s="38">
        <v>41455</v>
      </c>
      <c r="N103" s="37"/>
      <c r="O103" s="35">
        <v>30000</v>
      </c>
      <c r="P103" s="35"/>
      <c r="Q103" s="35"/>
    </row>
    <row r="104" spans="1:18" s="15" customFormat="1" ht="26.25" customHeight="1" x14ac:dyDescent="0.2">
      <c r="A104" s="43" t="s">
        <v>743</v>
      </c>
      <c r="B104" s="46" t="s">
        <v>76</v>
      </c>
      <c r="C104" s="44" t="s">
        <v>761</v>
      </c>
      <c r="D104" s="34">
        <v>4875</v>
      </c>
      <c r="E104" s="46" t="s">
        <v>754</v>
      </c>
      <c r="F104" s="35">
        <f>10000*3</f>
        <v>30000</v>
      </c>
      <c r="G104" s="40">
        <f>10000*3</f>
        <v>30000</v>
      </c>
      <c r="H104" s="35">
        <v>0</v>
      </c>
      <c r="I104" s="35">
        <f t="shared" si="2"/>
        <v>30000</v>
      </c>
      <c r="J104" s="36">
        <f t="shared" si="3"/>
        <v>0</v>
      </c>
      <c r="K104" s="48" t="s">
        <v>37</v>
      </c>
      <c r="L104" s="48" t="s">
        <v>37</v>
      </c>
      <c r="M104" s="38">
        <v>41455</v>
      </c>
      <c r="N104" s="48" t="s">
        <v>64</v>
      </c>
      <c r="O104" s="35">
        <v>10000</v>
      </c>
      <c r="P104" s="35">
        <v>10000</v>
      </c>
      <c r="Q104" s="35">
        <v>10000</v>
      </c>
    </row>
    <row r="105" spans="1:18" s="15" customFormat="1" ht="26.25" customHeight="1" x14ac:dyDescent="0.2">
      <c r="A105" s="43" t="s">
        <v>940</v>
      </c>
      <c r="B105" s="46" t="s">
        <v>76</v>
      </c>
      <c r="C105" s="44" t="s">
        <v>947</v>
      </c>
      <c r="D105" s="34">
        <v>4969</v>
      </c>
      <c r="E105" s="46" t="s">
        <v>953</v>
      </c>
      <c r="F105" s="35">
        <v>77185</v>
      </c>
      <c r="G105" s="40">
        <v>77185</v>
      </c>
      <c r="H105" s="35">
        <v>0</v>
      </c>
      <c r="I105" s="35">
        <f t="shared" si="2"/>
        <v>77185</v>
      </c>
      <c r="J105" s="36">
        <f t="shared" si="3"/>
        <v>0</v>
      </c>
      <c r="K105" s="48" t="s">
        <v>37</v>
      </c>
      <c r="L105" s="48" t="s">
        <v>37</v>
      </c>
      <c r="M105" s="38">
        <v>41455</v>
      </c>
      <c r="N105" s="37"/>
      <c r="O105" s="35">
        <v>77185</v>
      </c>
      <c r="P105" s="35"/>
      <c r="Q105" s="35"/>
    </row>
    <row r="106" spans="1:18" s="15" customFormat="1" ht="26.25" customHeight="1" x14ac:dyDescent="0.2">
      <c r="A106" s="43" t="s">
        <v>1006</v>
      </c>
      <c r="B106" s="46" t="s">
        <v>76</v>
      </c>
      <c r="C106" s="44" t="s">
        <v>1011</v>
      </c>
      <c r="D106" s="34">
        <v>5230</v>
      </c>
      <c r="E106" s="46" t="s">
        <v>1016</v>
      </c>
      <c r="F106" s="35">
        <f>12000*3</f>
        <v>36000</v>
      </c>
      <c r="G106" s="40">
        <v>12000</v>
      </c>
      <c r="H106" s="35">
        <f>12000*3</f>
        <v>36000</v>
      </c>
      <c r="I106" s="35">
        <f t="shared" si="2"/>
        <v>48000</v>
      </c>
      <c r="J106" s="36">
        <f t="shared" si="3"/>
        <v>3</v>
      </c>
      <c r="K106" s="48" t="s">
        <v>37</v>
      </c>
      <c r="L106" s="48" t="s">
        <v>37</v>
      </c>
      <c r="M106" s="38">
        <v>41613</v>
      </c>
      <c r="N106" s="48" t="s">
        <v>64</v>
      </c>
      <c r="O106" s="35">
        <v>12000</v>
      </c>
      <c r="P106" s="35">
        <v>12000</v>
      </c>
      <c r="Q106" s="35">
        <v>12000</v>
      </c>
    </row>
    <row r="107" spans="1:18" s="15" customFormat="1" ht="26.25" customHeight="1" x14ac:dyDescent="0.2">
      <c r="A107" s="43" t="s">
        <v>1007</v>
      </c>
      <c r="B107" s="46" t="s">
        <v>76</v>
      </c>
      <c r="C107" s="44" t="s">
        <v>1012</v>
      </c>
      <c r="D107" s="34">
        <v>5138</v>
      </c>
      <c r="E107" s="46" t="s">
        <v>1017</v>
      </c>
      <c r="F107" s="35">
        <f>8550*3</f>
        <v>25650</v>
      </c>
      <c r="G107" s="40">
        <f>8550*3</f>
        <v>25650</v>
      </c>
      <c r="H107" s="35">
        <v>0</v>
      </c>
      <c r="I107" s="35">
        <f t="shared" si="2"/>
        <v>25650</v>
      </c>
      <c r="J107" s="36">
        <f t="shared" si="3"/>
        <v>0</v>
      </c>
      <c r="K107" s="48" t="s">
        <v>37</v>
      </c>
      <c r="L107" s="48" t="s">
        <v>42</v>
      </c>
      <c r="M107" s="38">
        <v>41670</v>
      </c>
      <c r="N107" s="48" t="s">
        <v>64</v>
      </c>
      <c r="O107" s="35">
        <v>8550</v>
      </c>
      <c r="P107" s="35">
        <v>8550</v>
      </c>
      <c r="Q107" s="35">
        <v>8550</v>
      </c>
    </row>
    <row r="108" spans="1:18" s="15" customFormat="1" ht="26.25" customHeight="1" x14ac:dyDescent="0.2">
      <c r="A108" s="43" t="s">
        <v>1022</v>
      </c>
      <c r="B108" s="46" t="s">
        <v>76</v>
      </c>
      <c r="C108" s="44" t="s">
        <v>1027</v>
      </c>
      <c r="D108" s="34">
        <v>4989</v>
      </c>
      <c r="E108" s="46" t="s">
        <v>1032</v>
      </c>
      <c r="F108" s="35">
        <f>6000*3</f>
        <v>18000</v>
      </c>
      <c r="G108" s="40">
        <f>6000*3</f>
        <v>18000</v>
      </c>
      <c r="H108" s="35">
        <v>0</v>
      </c>
      <c r="I108" s="35">
        <f t="shared" si="2"/>
        <v>18000</v>
      </c>
      <c r="J108" s="36">
        <f t="shared" si="3"/>
        <v>0</v>
      </c>
      <c r="K108" s="48" t="s">
        <v>37</v>
      </c>
      <c r="L108" s="48" t="s">
        <v>37</v>
      </c>
      <c r="M108" s="52">
        <v>41455</v>
      </c>
      <c r="N108" s="48" t="s">
        <v>64</v>
      </c>
      <c r="O108" s="35">
        <v>6000</v>
      </c>
      <c r="P108" s="35">
        <v>6000</v>
      </c>
      <c r="Q108" s="35">
        <v>6000</v>
      </c>
    </row>
    <row r="109" spans="1:18" s="15" customFormat="1" ht="18" customHeight="1" x14ac:dyDescent="0.2">
      <c r="A109" s="43" t="s">
        <v>1023</v>
      </c>
      <c r="B109" s="46" t="s">
        <v>76</v>
      </c>
      <c r="C109" s="44" t="s">
        <v>1029</v>
      </c>
      <c r="D109" s="34">
        <v>4827</v>
      </c>
      <c r="E109" s="46" t="s">
        <v>1033</v>
      </c>
      <c r="F109" s="35">
        <f>15000*3</f>
        <v>45000</v>
      </c>
      <c r="G109" s="40">
        <f>15000*3</f>
        <v>45000</v>
      </c>
      <c r="H109" s="35">
        <v>0</v>
      </c>
      <c r="I109" s="35">
        <f t="shared" si="2"/>
        <v>45000</v>
      </c>
      <c r="J109" s="36">
        <f t="shared" si="3"/>
        <v>0</v>
      </c>
      <c r="K109" s="48" t="s">
        <v>37</v>
      </c>
      <c r="L109" s="48" t="s">
        <v>37</v>
      </c>
      <c r="M109" s="52">
        <v>41455</v>
      </c>
      <c r="N109" s="48" t="s">
        <v>64</v>
      </c>
      <c r="O109" s="35">
        <v>15000</v>
      </c>
      <c r="P109" s="35">
        <v>15000</v>
      </c>
      <c r="Q109" s="35">
        <v>15000</v>
      </c>
    </row>
    <row r="110" spans="1:18" s="15" customFormat="1" ht="26.25" customHeight="1" x14ac:dyDescent="0.2">
      <c r="A110" s="43" t="s">
        <v>1024</v>
      </c>
      <c r="B110" s="46" t="s">
        <v>76</v>
      </c>
      <c r="C110" s="44" t="s">
        <v>1028</v>
      </c>
      <c r="D110" s="34">
        <v>4726</v>
      </c>
      <c r="E110" s="46" t="s">
        <v>1034</v>
      </c>
      <c r="F110" s="35">
        <f>7500*3</f>
        <v>22500</v>
      </c>
      <c r="G110" s="40">
        <f>7500*3</f>
        <v>22500</v>
      </c>
      <c r="H110" s="35">
        <v>0</v>
      </c>
      <c r="I110" s="35">
        <f t="shared" si="2"/>
        <v>22500</v>
      </c>
      <c r="J110" s="36">
        <f t="shared" si="3"/>
        <v>0</v>
      </c>
      <c r="K110" s="48" t="s">
        <v>37</v>
      </c>
      <c r="L110" s="48" t="s">
        <v>37</v>
      </c>
      <c r="M110" s="52">
        <v>41455</v>
      </c>
      <c r="N110" s="48" t="s">
        <v>64</v>
      </c>
      <c r="O110" s="35">
        <v>7500</v>
      </c>
      <c r="P110" s="35">
        <v>7500</v>
      </c>
      <c r="Q110" s="35">
        <v>7500</v>
      </c>
    </row>
    <row r="111" spans="1:18" s="15" customFormat="1" ht="26.25" customHeight="1" x14ac:dyDescent="0.2">
      <c r="A111" s="43" t="s">
        <v>1101</v>
      </c>
      <c r="B111" s="46" t="s">
        <v>76</v>
      </c>
      <c r="C111" s="44" t="s">
        <v>1110</v>
      </c>
      <c r="D111" s="34">
        <v>5002</v>
      </c>
      <c r="E111" s="46" t="s">
        <v>1116</v>
      </c>
      <c r="F111" s="35">
        <f>15000*3</f>
        <v>45000</v>
      </c>
      <c r="G111" s="40">
        <f>15000*3</f>
        <v>45000</v>
      </c>
      <c r="H111" s="35">
        <v>0</v>
      </c>
      <c r="I111" s="35">
        <f t="shared" si="2"/>
        <v>45000</v>
      </c>
      <c r="J111" s="36">
        <f t="shared" si="3"/>
        <v>0</v>
      </c>
      <c r="K111" s="48" t="s">
        <v>37</v>
      </c>
      <c r="L111" s="48" t="s">
        <v>37</v>
      </c>
      <c r="M111" s="38">
        <v>41455</v>
      </c>
      <c r="N111" s="48" t="s">
        <v>64</v>
      </c>
      <c r="O111" s="35">
        <v>15000</v>
      </c>
      <c r="P111" s="35">
        <v>15000</v>
      </c>
      <c r="Q111" s="35">
        <v>15000</v>
      </c>
    </row>
    <row r="112" spans="1:18" s="15" customFormat="1" ht="26.25" customHeight="1" x14ac:dyDescent="0.2">
      <c r="A112" s="43" t="s">
        <v>1104</v>
      </c>
      <c r="B112" s="46" t="s">
        <v>76</v>
      </c>
      <c r="C112" s="44" t="s">
        <v>1112</v>
      </c>
      <c r="D112" s="34">
        <v>5470</v>
      </c>
      <c r="E112" s="46" t="s">
        <v>1119</v>
      </c>
      <c r="F112" s="35">
        <f>22500*3</f>
        <v>67500</v>
      </c>
      <c r="G112" s="40">
        <f>22500*3</f>
        <v>67500</v>
      </c>
      <c r="H112" s="35">
        <v>0</v>
      </c>
      <c r="I112" s="35">
        <f t="shared" si="2"/>
        <v>67500</v>
      </c>
      <c r="J112" s="36">
        <f t="shared" si="3"/>
        <v>0</v>
      </c>
      <c r="K112" s="48" t="s">
        <v>37</v>
      </c>
      <c r="L112" s="48" t="s">
        <v>42</v>
      </c>
      <c r="M112" s="38">
        <v>41759</v>
      </c>
      <c r="N112" s="48" t="s">
        <v>64</v>
      </c>
      <c r="O112" s="35">
        <v>22500</v>
      </c>
      <c r="P112" s="35">
        <v>22500</v>
      </c>
      <c r="Q112" s="35">
        <v>22500</v>
      </c>
      <c r="R112" s="57"/>
    </row>
    <row r="113" spans="1:17" s="15" customFormat="1" ht="26.25" customHeight="1" x14ac:dyDescent="0.2">
      <c r="A113" s="43" t="s">
        <v>1147</v>
      </c>
      <c r="B113" s="46" t="s">
        <v>76</v>
      </c>
      <c r="C113" s="44" t="s">
        <v>1152</v>
      </c>
      <c r="D113" s="34">
        <v>5587</v>
      </c>
      <c r="E113" s="46" t="s">
        <v>1155</v>
      </c>
      <c r="F113" s="35">
        <v>95800</v>
      </c>
      <c r="G113" s="40">
        <v>95800</v>
      </c>
      <c r="H113" s="35">
        <v>0</v>
      </c>
      <c r="I113" s="35">
        <f t="shared" si="2"/>
        <v>95800</v>
      </c>
      <c r="J113" s="36">
        <f t="shared" si="3"/>
        <v>0</v>
      </c>
      <c r="K113" s="48" t="s">
        <v>37</v>
      </c>
      <c r="L113" s="48" t="s">
        <v>37</v>
      </c>
      <c r="M113" s="38">
        <v>41698</v>
      </c>
      <c r="N113" s="48"/>
      <c r="O113" s="35">
        <v>95800</v>
      </c>
      <c r="P113" s="35"/>
      <c r="Q113" s="35"/>
    </row>
    <row r="114" spans="1:17" s="15" customFormat="1" ht="26.25" customHeight="1" x14ac:dyDescent="0.2">
      <c r="A114" s="43" t="s">
        <v>1161</v>
      </c>
      <c r="B114" s="46" t="s">
        <v>76</v>
      </c>
      <c r="C114" s="44" t="s">
        <v>1163</v>
      </c>
      <c r="D114" s="34">
        <v>5588</v>
      </c>
      <c r="E114" s="46" t="s">
        <v>1170</v>
      </c>
      <c r="F114" s="35">
        <v>25000</v>
      </c>
      <c r="G114" s="40">
        <v>25000</v>
      </c>
      <c r="H114" s="35">
        <v>0</v>
      </c>
      <c r="I114" s="35">
        <f t="shared" si="2"/>
        <v>25000</v>
      </c>
      <c r="J114" s="36">
        <f t="shared" si="3"/>
        <v>0</v>
      </c>
      <c r="K114" s="48" t="s">
        <v>37</v>
      </c>
      <c r="L114" s="48" t="s">
        <v>37</v>
      </c>
      <c r="M114" s="38">
        <v>41713</v>
      </c>
      <c r="N114" s="48"/>
      <c r="O114" s="35">
        <v>25000</v>
      </c>
      <c r="P114" s="35"/>
      <c r="Q114" s="35"/>
    </row>
    <row r="115" spans="1:17" s="15" customFormat="1" ht="26.25" customHeight="1" x14ac:dyDescent="0.2">
      <c r="A115" s="43" t="s">
        <v>1188</v>
      </c>
      <c r="B115" s="46" t="s">
        <v>76</v>
      </c>
      <c r="C115" s="44" t="s">
        <v>98</v>
      </c>
      <c r="D115" s="34">
        <v>5714</v>
      </c>
      <c r="E115" s="46" t="s">
        <v>1203</v>
      </c>
      <c r="F115" s="35">
        <v>49500</v>
      </c>
      <c r="G115" s="40">
        <v>49500</v>
      </c>
      <c r="H115" s="35">
        <v>0</v>
      </c>
      <c r="I115" s="35">
        <f t="shared" si="2"/>
        <v>49500</v>
      </c>
      <c r="J115" s="36">
        <f t="shared" si="3"/>
        <v>0</v>
      </c>
      <c r="K115" s="48" t="s">
        <v>37</v>
      </c>
      <c r="L115" s="48" t="s">
        <v>37</v>
      </c>
      <c r="M115" s="38">
        <v>41698</v>
      </c>
      <c r="N115" s="48"/>
      <c r="O115" s="35">
        <v>49500</v>
      </c>
      <c r="P115" s="35"/>
      <c r="Q115" s="35"/>
    </row>
    <row r="116" spans="1:17" s="15" customFormat="1" ht="26.25" customHeight="1" x14ac:dyDescent="0.2">
      <c r="A116" s="43" t="s">
        <v>1411</v>
      </c>
      <c r="B116" s="46" t="s">
        <v>76</v>
      </c>
      <c r="C116" s="44" t="s">
        <v>1413</v>
      </c>
      <c r="D116" s="34">
        <v>6295</v>
      </c>
      <c r="E116" s="46" t="s">
        <v>1416</v>
      </c>
      <c r="F116" s="35">
        <v>99500</v>
      </c>
      <c r="G116" s="40">
        <v>99500</v>
      </c>
      <c r="H116" s="35">
        <v>0</v>
      </c>
      <c r="I116" s="35">
        <f t="shared" si="2"/>
        <v>99500</v>
      </c>
      <c r="J116" s="36">
        <f t="shared" si="3"/>
        <v>0</v>
      </c>
      <c r="K116" s="48" t="s">
        <v>37</v>
      </c>
      <c r="L116" s="48" t="s">
        <v>37</v>
      </c>
      <c r="M116" s="38">
        <v>41547</v>
      </c>
      <c r="N116" s="48"/>
      <c r="O116" s="35">
        <v>99500</v>
      </c>
      <c r="P116" s="35"/>
      <c r="Q116" s="35"/>
    </row>
    <row r="117" spans="1:17" s="15" customFormat="1" ht="26.25" customHeight="1" x14ac:dyDescent="0.2">
      <c r="A117" s="43" t="s">
        <v>260</v>
      </c>
      <c r="B117" s="46" t="s">
        <v>26</v>
      </c>
      <c r="C117" s="44" t="s">
        <v>291</v>
      </c>
      <c r="D117" s="47" t="s">
        <v>295</v>
      </c>
      <c r="E117" s="46" t="s">
        <v>276</v>
      </c>
      <c r="F117" s="35">
        <v>99000</v>
      </c>
      <c r="G117" s="40">
        <v>99000</v>
      </c>
      <c r="H117" s="35">
        <v>0</v>
      </c>
      <c r="I117" s="35">
        <f t="shared" si="2"/>
        <v>99000</v>
      </c>
      <c r="J117" s="36">
        <f t="shared" si="3"/>
        <v>0</v>
      </c>
      <c r="K117" s="48" t="s">
        <v>37</v>
      </c>
      <c r="L117" s="48" t="s">
        <v>37</v>
      </c>
      <c r="M117" s="38">
        <v>41455</v>
      </c>
      <c r="N117" s="37"/>
      <c r="O117" s="41">
        <v>99000</v>
      </c>
      <c r="P117" s="41"/>
      <c r="Q117" s="41"/>
    </row>
    <row r="118" spans="1:17" s="15" customFormat="1" ht="26.25" customHeight="1" x14ac:dyDescent="0.2">
      <c r="A118" s="43" t="s">
        <v>305</v>
      </c>
      <c r="B118" s="46" t="s">
        <v>26</v>
      </c>
      <c r="C118" s="44" t="s">
        <v>342</v>
      </c>
      <c r="D118" s="47" t="s">
        <v>356</v>
      </c>
      <c r="E118" s="46" t="s">
        <v>276</v>
      </c>
      <c r="F118" s="35">
        <v>20000</v>
      </c>
      <c r="G118" s="40">
        <v>20000</v>
      </c>
      <c r="H118" s="35">
        <v>0</v>
      </c>
      <c r="I118" s="35">
        <f t="shared" si="2"/>
        <v>20000</v>
      </c>
      <c r="J118" s="36">
        <f t="shared" si="3"/>
        <v>0</v>
      </c>
      <c r="K118" s="48" t="s">
        <v>37</v>
      </c>
      <c r="L118" s="48" t="s">
        <v>37</v>
      </c>
      <c r="M118" s="38">
        <v>41455</v>
      </c>
      <c r="N118" s="37"/>
      <c r="O118" s="41">
        <v>20000</v>
      </c>
      <c r="P118" s="41"/>
      <c r="Q118" s="41"/>
    </row>
    <row r="119" spans="1:17" s="15" customFormat="1" ht="26.25" customHeight="1" x14ac:dyDescent="0.2">
      <c r="A119" s="43" t="s">
        <v>317</v>
      </c>
      <c r="B119" s="46" t="s">
        <v>26</v>
      </c>
      <c r="C119" s="44" t="s">
        <v>343</v>
      </c>
      <c r="D119" s="47" t="s">
        <v>357</v>
      </c>
      <c r="E119" s="46" t="s">
        <v>276</v>
      </c>
      <c r="F119" s="35">
        <v>20000</v>
      </c>
      <c r="G119" s="40">
        <v>20000</v>
      </c>
      <c r="H119" s="35">
        <v>0</v>
      </c>
      <c r="I119" s="35">
        <f t="shared" si="2"/>
        <v>20000</v>
      </c>
      <c r="J119" s="36">
        <f t="shared" si="3"/>
        <v>0</v>
      </c>
      <c r="K119" s="48" t="s">
        <v>37</v>
      </c>
      <c r="L119" s="48" t="s">
        <v>37</v>
      </c>
      <c r="M119" s="38">
        <v>41455</v>
      </c>
      <c r="N119" s="37"/>
      <c r="O119" s="41">
        <v>20000</v>
      </c>
      <c r="P119" s="41"/>
      <c r="Q119" s="41"/>
    </row>
    <row r="120" spans="1:17" s="15" customFormat="1" ht="38.25" customHeight="1" x14ac:dyDescent="0.2">
      <c r="A120" s="43" t="s">
        <v>318</v>
      </c>
      <c r="B120" s="46" t="s">
        <v>26</v>
      </c>
      <c r="C120" s="44" t="s">
        <v>32</v>
      </c>
      <c r="D120" s="47" t="s">
        <v>359</v>
      </c>
      <c r="E120" s="46" t="s">
        <v>382</v>
      </c>
      <c r="F120" s="35">
        <v>15000</v>
      </c>
      <c r="G120" s="40">
        <v>15000</v>
      </c>
      <c r="H120" s="35">
        <v>0</v>
      </c>
      <c r="I120" s="35">
        <f t="shared" si="2"/>
        <v>15000</v>
      </c>
      <c r="J120" s="36">
        <f t="shared" si="3"/>
        <v>0</v>
      </c>
      <c r="K120" s="48" t="s">
        <v>37</v>
      </c>
      <c r="L120" s="48" t="s">
        <v>37</v>
      </c>
      <c r="M120" s="38">
        <v>41455</v>
      </c>
      <c r="N120" s="37"/>
      <c r="O120" s="41">
        <v>15000</v>
      </c>
      <c r="P120" s="41"/>
      <c r="Q120" s="41"/>
    </row>
    <row r="121" spans="1:17" s="15" customFormat="1" ht="26.25" customHeight="1" x14ac:dyDescent="0.2">
      <c r="A121" s="43" t="s">
        <v>319</v>
      </c>
      <c r="B121" s="46" t="s">
        <v>26</v>
      </c>
      <c r="C121" s="44" t="s">
        <v>32</v>
      </c>
      <c r="D121" s="47" t="s">
        <v>360</v>
      </c>
      <c r="E121" s="46" t="s">
        <v>35</v>
      </c>
      <c r="F121" s="35">
        <v>15000</v>
      </c>
      <c r="G121" s="40">
        <v>15000</v>
      </c>
      <c r="H121" s="35">
        <v>0</v>
      </c>
      <c r="I121" s="35">
        <f t="shared" si="2"/>
        <v>15000</v>
      </c>
      <c r="J121" s="36">
        <f t="shared" si="3"/>
        <v>0</v>
      </c>
      <c r="K121" s="48" t="s">
        <v>37</v>
      </c>
      <c r="L121" s="48" t="s">
        <v>37</v>
      </c>
      <c r="M121" s="38">
        <v>41455</v>
      </c>
      <c r="N121" s="48"/>
      <c r="O121" s="41">
        <v>15000</v>
      </c>
      <c r="P121" s="41"/>
      <c r="Q121" s="41"/>
    </row>
    <row r="122" spans="1:17" s="15" customFormat="1" ht="26.25" customHeight="1" x14ac:dyDescent="0.2">
      <c r="A122" s="43" t="s">
        <v>320</v>
      </c>
      <c r="B122" s="46" t="s">
        <v>26</v>
      </c>
      <c r="C122" s="44" t="s">
        <v>24</v>
      </c>
      <c r="D122" s="47" t="s">
        <v>361</v>
      </c>
      <c r="E122" s="46" t="s">
        <v>33</v>
      </c>
      <c r="F122" s="35">
        <v>25000</v>
      </c>
      <c r="G122" s="40">
        <v>25000</v>
      </c>
      <c r="H122" s="35">
        <v>0</v>
      </c>
      <c r="I122" s="35">
        <f t="shared" si="2"/>
        <v>25000</v>
      </c>
      <c r="J122" s="36">
        <f t="shared" si="3"/>
        <v>0</v>
      </c>
      <c r="K122" s="48" t="s">
        <v>37</v>
      </c>
      <c r="L122" s="48" t="s">
        <v>37</v>
      </c>
      <c r="M122" s="38">
        <v>41455</v>
      </c>
      <c r="N122" s="37"/>
      <c r="O122" s="41">
        <v>25000</v>
      </c>
      <c r="P122" s="41"/>
      <c r="Q122" s="41"/>
    </row>
    <row r="123" spans="1:17" s="15" customFormat="1" ht="26.25" customHeight="1" x14ac:dyDescent="0.2">
      <c r="A123" s="43" t="s">
        <v>321</v>
      </c>
      <c r="B123" s="46" t="s">
        <v>26</v>
      </c>
      <c r="C123" s="44" t="s">
        <v>344</v>
      </c>
      <c r="D123" s="47" t="s">
        <v>362</v>
      </c>
      <c r="E123" s="46" t="s">
        <v>33</v>
      </c>
      <c r="F123" s="35">
        <v>20000</v>
      </c>
      <c r="G123" s="40">
        <v>20000</v>
      </c>
      <c r="H123" s="35">
        <v>0</v>
      </c>
      <c r="I123" s="35">
        <f t="shared" si="2"/>
        <v>20000</v>
      </c>
      <c r="J123" s="36">
        <f t="shared" si="3"/>
        <v>0</v>
      </c>
      <c r="K123" s="48" t="s">
        <v>37</v>
      </c>
      <c r="L123" s="48" t="s">
        <v>37</v>
      </c>
      <c r="M123" s="38">
        <v>41455</v>
      </c>
      <c r="N123" s="37"/>
      <c r="O123" s="41">
        <v>20000</v>
      </c>
      <c r="P123" s="41"/>
      <c r="Q123" s="41"/>
    </row>
    <row r="124" spans="1:17" s="15" customFormat="1" ht="26.25" customHeight="1" x14ac:dyDescent="0.2">
      <c r="A124" s="43" t="s">
        <v>322</v>
      </c>
      <c r="B124" s="46" t="s">
        <v>26</v>
      </c>
      <c r="C124" s="44" t="s">
        <v>345</v>
      </c>
      <c r="D124" s="47" t="s">
        <v>363</v>
      </c>
      <c r="E124" s="46" t="s">
        <v>35</v>
      </c>
      <c r="F124" s="35">
        <v>15000</v>
      </c>
      <c r="G124" s="40">
        <v>15000</v>
      </c>
      <c r="H124" s="35">
        <v>0</v>
      </c>
      <c r="I124" s="35">
        <f t="shared" si="2"/>
        <v>15000</v>
      </c>
      <c r="J124" s="36">
        <f t="shared" si="3"/>
        <v>0</v>
      </c>
      <c r="K124" s="48" t="s">
        <v>37</v>
      </c>
      <c r="L124" s="48" t="s">
        <v>37</v>
      </c>
      <c r="M124" s="38">
        <v>41455</v>
      </c>
      <c r="N124" s="37"/>
      <c r="O124" s="41">
        <v>15000</v>
      </c>
      <c r="P124" s="41"/>
      <c r="Q124" s="41"/>
    </row>
    <row r="125" spans="1:17" s="15" customFormat="1" ht="26.25" customHeight="1" x14ac:dyDescent="0.2">
      <c r="A125" s="43" t="s">
        <v>323</v>
      </c>
      <c r="B125" s="46" t="s">
        <v>26</v>
      </c>
      <c r="C125" s="44" t="s">
        <v>346</v>
      </c>
      <c r="D125" s="47" t="s">
        <v>364</v>
      </c>
      <c r="E125" s="46" t="s">
        <v>34</v>
      </c>
      <c r="F125" s="35">
        <v>20000</v>
      </c>
      <c r="G125" s="40">
        <v>20000</v>
      </c>
      <c r="H125" s="35">
        <v>0</v>
      </c>
      <c r="I125" s="35">
        <f t="shared" si="2"/>
        <v>20000</v>
      </c>
      <c r="J125" s="36">
        <f t="shared" si="3"/>
        <v>0</v>
      </c>
      <c r="K125" s="48" t="s">
        <v>37</v>
      </c>
      <c r="L125" s="48" t="s">
        <v>37</v>
      </c>
      <c r="M125" s="38">
        <v>41455</v>
      </c>
      <c r="N125" s="48"/>
      <c r="O125" s="41">
        <v>20000</v>
      </c>
      <c r="P125" s="41"/>
      <c r="Q125" s="41"/>
    </row>
    <row r="126" spans="1:17" s="15" customFormat="1" ht="26.25" customHeight="1" x14ac:dyDescent="0.2">
      <c r="A126" s="43" t="s">
        <v>324</v>
      </c>
      <c r="B126" s="46" t="s">
        <v>26</v>
      </c>
      <c r="C126" s="44" t="s">
        <v>347</v>
      </c>
      <c r="D126" s="47" t="s">
        <v>365</v>
      </c>
      <c r="E126" s="46" t="s">
        <v>35</v>
      </c>
      <c r="F126" s="35">
        <v>20000</v>
      </c>
      <c r="G126" s="40">
        <v>20000</v>
      </c>
      <c r="H126" s="35">
        <v>0</v>
      </c>
      <c r="I126" s="35">
        <f t="shared" si="2"/>
        <v>20000</v>
      </c>
      <c r="J126" s="36">
        <f t="shared" si="3"/>
        <v>0</v>
      </c>
      <c r="K126" s="48" t="s">
        <v>37</v>
      </c>
      <c r="L126" s="48" t="s">
        <v>37</v>
      </c>
      <c r="M126" s="38">
        <v>41455</v>
      </c>
      <c r="N126" s="48"/>
      <c r="O126" s="41">
        <v>20000</v>
      </c>
      <c r="P126" s="41"/>
      <c r="Q126" s="41"/>
    </row>
    <row r="127" spans="1:17" s="15" customFormat="1" ht="26.25" customHeight="1" x14ac:dyDescent="0.2">
      <c r="A127" s="43" t="s">
        <v>325</v>
      </c>
      <c r="B127" s="46" t="s">
        <v>26</v>
      </c>
      <c r="C127" s="44" t="s">
        <v>348</v>
      </c>
      <c r="D127" s="47" t="s">
        <v>366</v>
      </c>
      <c r="E127" s="46" t="s">
        <v>35</v>
      </c>
      <c r="F127" s="35">
        <v>45000</v>
      </c>
      <c r="G127" s="40">
        <v>45000</v>
      </c>
      <c r="H127" s="35">
        <v>0</v>
      </c>
      <c r="I127" s="35">
        <f t="shared" si="2"/>
        <v>45000</v>
      </c>
      <c r="J127" s="36">
        <f t="shared" si="3"/>
        <v>0</v>
      </c>
      <c r="K127" s="48" t="s">
        <v>37</v>
      </c>
      <c r="L127" s="48" t="s">
        <v>37</v>
      </c>
      <c r="M127" s="38">
        <v>41455</v>
      </c>
      <c r="N127" s="37"/>
      <c r="O127" s="41">
        <v>45000</v>
      </c>
      <c r="P127" s="41"/>
      <c r="Q127" s="41"/>
    </row>
    <row r="128" spans="1:17" s="15" customFormat="1" ht="38.25" customHeight="1" x14ac:dyDescent="0.2">
      <c r="A128" s="43" t="s">
        <v>326</v>
      </c>
      <c r="B128" s="46" t="s">
        <v>26</v>
      </c>
      <c r="C128" s="44" t="s">
        <v>23</v>
      </c>
      <c r="D128" s="47" t="s">
        <v>367</v>
      </c>
      <c r="E128" s="46" t="s">
        <v>383</v>
      </c>
      <c r="F128" s="35">
        <v>20000</v>
      </c>
      <c r="G128" s="40">
        <v>20000</v>
      </c>
      <c r="H128" s="35">
        <v>0</v>
      </c>
      <c r="I128" s="35">
        <f t="shared" si="2"/>
        <v>20000</v>
      </c>
      <c r="J128" s="36">
        <f t="shared" si="3"/>
        <v>0</v>
      </c>
      <c r="K128" s="48" t="s">
        <v>37</v>
      </c>
      <c r="L128" s="48" t="s">
        <v>37</v>
      </c>
      <c r="M128" s="38">
        <v>41455</v>
      </c>
      <c r="N128" s="37"/>
      <c r="O128" s="41">
        <v>20000</v>
      </c>
      <c r="P128" s="41"/>
      <c r="Q128" s="41"/>
    </row>
    <row r="129" spans="1:17" s="15" customFormat="1" ht="38.25" customHeight="1" x14ac:dyDescent="0.2">
      <c r="A129" s="43" t="s">
        <v>327</v>
      </c>
      <c r="B129" s="46" t="s">
        <v>26</v>
      </c>
      <c r="C129" s="44" t="s">
        <v>23</v>
      </c>
      <c r="D129" s="47" t="s">
        <v>368</v>
      </c>
      <c r="E129" s="46" t="s">
        <v>384</v>
      </c>
      <c r="F129" s="35">
        <v>15000</v>
      </c>
      <c r="G129" s="40">
        <v>15000</v>
      </c>
      <c r="H129" s="35">
        <v>0</v>
      </c>
      <c r="I129" s="35">
        <f t="shared" si="2"/>
        <v>15000</v>
      </c>
      <c r="J129" s="36">
        <f t="shared" si="3"/>
        <v>0</v>
      </c>
      <c r="K129" s="48" t="s">
        <v>37</v>
      </c>
      <c r="L129" s="48" t="s">
        <v>37</v>
      </c>
      <c r="M129" s="38">
        <v>41455</v>
      </c>
      <c r="N129" s="37"/>
      <c r="O129" s="41">
        <v>15000</v>
      </c>
      <c r="P129" s="41"/>
      <c r="Q129" s="41"/>
    </row>
    <row r="130" spans="1:17" s="15" customFormat="1" ht="26.25" customHeight="1" x14ac:dyDescent="0.2">
      <c r="A130" s="43" t="s">
        <v>328</v>
      </c>
      <c r="B130" s="46" t="s">
        <v>26</v>
      </c>
      <c r="C130" s="44" t="s">
        <v>23</v>
      </c>
      <c r="D130" s="47" t="s">
        <v>374</v>
      </c>
      <c r="E130" s="46" t="s">
        <v>33</v>
      </c>
      <c r="F130" s="35">
        <v>20000</v>
      </c>
      <c r="G130" s="40">
        <v>20000</v>
      </c>
      <c r="H130" s="35">
        <v>0</v>
      </c>
      <c r="I130" s="35">
        <f t="shared" ref="I130:I193" si="4">G130+H130</f>
        <v>20000</v>
      </c>
      <c r="J130" s="36">
        <f t="shared" ref="J130:J193" si="5">IF(G130=0,100%,(I130-G130)/G130)</f>
        <v>0</v>
      </c>
      <c r="K130" s="48" t="s">
        <v>37</v>
      </c>
      <c r="L130" s="48" t="s">
        <v>37</v>
      </c>
      <c r="M130" s="38">
        <v>41455</v>
      </c>
      <c r="N130" s="37"/>
      <c r="O130" s="41">
        <v>20000</v>
      </c>
      <c r="P130" s="41"/>
      <c r="Q130" s="41"/>
    </row>
    <row r="131" spans="1:17" s="15" customFormat="1" ht="26.25" customHeight="1" x14ac:dyDescent="0.2">
      <c r="A131" s="43" t="s">
        <v>329</v>
      </c>
      <c r="B131" s="46" t="s">
        <v>26</v>
      </c>
      <c r="C131" s="44" t="s">
        <v>29</v>
      </c>
      <c r="D131" s="47" t="s">
        <v>375</v>
      </c>
      <c r="E131" s="46" t="s">
        <v>33</v>
      </c>
      <c r="F131" s="35">
        <v>25000</v>
      </c>
      <c r="G131" s="40">
        <v>25000</v>
      </c>
      <c r="H131" s="35">
        <v>0</v>
      </c>
      <c r="I131" s="35">
        <f t="shared" si="4"/>
        <v>25000</v>
      </c>
      <c r="J131" s="36">
        <f t="shared" si="5"/>
        <v>0</v>
      </c>
      <c r="K131" s="48" t="s">
        <v>37</v>
      </c>
      <c r="L131" s="48" t="s">
        <v>37</v>
      </c>
      <c r="M131" s="38">
        <v>41455</v>
      </c>
      <c r="N131" s="37"/>
      <c r="O131" s="41">
        <v>25000</v>
      </c>
      <c r="P131" s="41"/>
      <c r="Q131" s="41"/>
    </row>
    <row r="132" spans="1:17" s="15" customFormat="1" ht="26.25" customHeight="1" x14ac:dyDescent="0.2">
      <c r="A132" s="43" t="s">
        <v>330</v>
      </c>
      <c r="B132" s="46" t="s">
        <v>26</v>
      </c>
      <c r="C132" s="44" t="s">
        <v>349</v>
      </c>
      <c r="D132" s="47" t="s">
        <v>376</v>
      </c>
      <c r="E132" s="46" t="s">
        <v>33</v>
      </c>
      <c r="F132" s="35">
        <v>20000</v>
      </c>
      <c r="G132" s="40">
        <v>20000</v>
      </c>
      <c r="H132" s="35">
        <v>0</v>
      </c>
      <c r="I132" s="35">
        <f t="shared" si="4"/>
        <v>20000</v>
      </c>
      <c r="J132" s="36">
        <f t="shared" si="5"/>
        <v>0</v>
      </c>
      <c r="K132" s="48" t="s">
        <v>37</v>
      </c>
      <c r="L132" s="48" t="s">
        <v>37</v>
      </c>
      <c r="M132" s="38">
        <v>41455</v>
      </c>
      <c r="N132" s="48"/>
      <c r="O132" s="41">
        <v>20000</v>
      </c>
      <c r="P132" s="41"/>
      <c r="Q132" s="41"/>
    </row>
    <row r="133" spans="1:17" s="15" customFormat="1" ht="26.25" customHeight="1" x14ac:dyDescent="0.2">
      <c r="A133" s="43" t="s">
        <v>331</v>
      </c>
      <c r="B133" s="46" t="s">
        <v>26</v>
      </c>
      <c r="C133" s="44" t="s">
        <v>30</v>
      </c>
      <c r="D133" s="47" t="s">
        <v>377</v>
      </c>
      <c r="E133" s="46" t="s">
        <v>33</v>
      </c>
      <c r="F133" s="35">
        <v>25000</v>
      </c>
      <c r="G133" s="40">
        <v>25000</v>
      </c>
      <c r="H133" s="35">
        <v>0</v>
      </c>
      <c r="I133" s="35">
        <f t="shared" si="4"/>
        <v>25000</v>
      </c>
      <c r="J133" s="36">
        <f t="shared" si="5"/>
        <v>0</v>
      </c>
      <c r="K133" s="48" t="s">
        <v>37</v>
      </c>
      <c r="L133" s="48" t="s">
        <v>37</v>
      </c>
      <c r="M133" s="38">
        <v>41455</v>
      </c>
      <c r="N133" s="37"/>
      <c r="O133" s="41">
        <v>25000</v>
      </c>
      <c r="P133" s="41"/>
      <c r="Q133" s="41"/>
    </row>
    <row r="134" spans="1:17" s="15" customFormat="1" ht="26.25" customHeight="1" x14ac:dyDescent="0.2">
      <c r="A134" s="43" t="s">
        <v>332</v>
      </c>
      <c r="B134" s="46" t="s">
        <v>26</v>
      </c>
      <c r="C134" s="44" t="s">
        <v>95</v>
      </c>
      <c r="D134" s="47" t="s">
        <v>378</v>
      </c>
      <c r="E134" s="46" t="s">
        <v>33</v>
      </c>
      <c r="F134" s="35">
        <v>20000</v>
      </c>
      <c r="G134" s="40">
        <v>20000</v>
      </c>
      <c r="H134" s="35">
        <v>0</v>
      </c>
      <c r="I134" s="35">
        <f t="shared" si="4"/>
        <v>20000</v>
      </c>
      <c r="J134" s="36">
        <f t="shared" si="5"/>
        <v>0</v>
      </c>
      <c r="K134" s="48" t="s">
        <v>37</v>
      </c>
      <c r="L134" s="48" t="s">
        <v>37</v>
      </c>
      <c r="M134" s="38">
        <v>41455</v>
      </c>
      <c r="N134" s="37"/>
      <c r="O134" s="41">
        <v>20000</v>
      </c>
      <c r="P134" s="41"/>
      <c r="Q134" s="41"/>
    </row>
    <row r="135" spans="1:17" s="15" customFormat="1" ht="26.25" customHeight="1" x14ac:dyDescent="0.2">
      <c r="A135" s="43" t="s">
        <v>333</v>
      </c>
      <c r="B135" s="46" t="s">
        <v>26</v>
      </c>
      <c r="C135" s="44" t="s">
        <v>350</v>
      </c>
      <c r="D135" s="47" t="s">
        <v>379</v>
      </c>
      <c r="E135" s="46" t="s">
        <v>34</v>
      </c>
      <c r="F135" s="35">
        <v>20000</v>
      </c>
      <c r="G135" s="40">
        <v>20000</v>
      </c>
      <c r="H135" s="35">
        <v>0</v>
      </c>
      <c r="I135" s="35">
        <f t="shared" si="4"/>
        <v>20000</v>
      </c>
      <c r="J135" s="36">
        <f t="shared" si="5"/>
        <v>0</v>
      </c>
      <c r="K135" s="48" t="s">
        <v>37</v>
      </c>
      <c r="L135" s="48" t="s">
        <v>37</v>
      </c>
      <c r="M135" s="38">
        <v>41455</v>
      </c>
      <c r="N135" s="37"/>
      <c r="O135" s="41">
        <v>20000</v>
      </c>
      <c r="P135" s="41"/>
      <c r="Q135" s="41"/>
    </row>
    <row r="136" spans="1:17" s="15" customFormat="1" ht="38.25" customHeight="1" x14ac:dyDescent="0.2">
      <c r="A136" s="43" t="s">
        <v>334</v>
      </c>
      <c r="B136" s="46" t="s">
        <v>26</v>
      </c>
      <c r="C136" s="44" t="s">
        <v>351</v>
      </c>
      <c r="D136" s="47" t="s">
        <v>380</v>
      </c>
      <c r="E136" s="46" t="s">
        <v>385</v>
      </c>
      <c r="F136" s="35">
        <v>25000</v>
      </c>
      <c r="G136" s="40">
        <v>25000</v>
      </c>
      <c r="H136" s="35">
        <v>0</v>
      </c>
      <c r="I136" s="35">
        <f t="shared" si="4"/>
        <v>25000</v>
      </c>
      <c r="J136" s="36">
        <f t="shared" si="5"/>
        <v>0</v>
      </c>
      <c r="K136" s="48" t="s">
        <v>37</v>
      </c>
      <c r="L136" s="48" t="s">
        <v>37</v>
      </c>
      <c r="M136" s="38">
        <v>41455</v>
      </c>
      <c r="N136" s="37"/>
      <c r="O136" s="41">
        <v>25000</v>
      </c>
      <c r="P136" s="41"/>
      <c r="Q136" s="41"/>
    </row>
    <row r="137" spans="1:17" s="15" customFormat="1" ht="26.25" customHeight="1" x14ac:dyDescent="0.2">
      <c r="A137" s="43" t="s">
        <v>335</v>
      </c>
      <c r="B137" s="46" t="s">
        <v>26</v>
      </c>
      <c r="C137" s="44" t="s">
        <v>351</v>
      </c>
      <c r="D137" s="47" t="s">
        <v>381</v>
      </c>
      <c r="E137" s="46" t="s">
        <v>35</v>
      </c>
      <c r="F137" s="35">
        <v>20000</v>
      </c>
      <c r="G137" s="40">
        <v>20000</v>
      </c>
      <c r="H137" s="35">
        <v>0</v>
      </c>
      <c r="I137" s="35">
        <f t="shared" si="4"/>
        <v>20000</v>
      </c>
      <c r="J137" s="36">
        <f t="shared" si="5"/>
        <v>0</v>
      </c>
      <c r="K137" s="48" t="s">
        <v>37</v>
      </c>
      <c r="L137" s="48" t="s">
        <v>37</v>
      </c>
      <c r="M137" s="38">
        <v>41455</v>
      </c>
      <c r="N137" s="37"/>
      <c r="O137" s="41">
        <v>20000</v>
      </c>
      <c r="P137" s="41"/>
      <c r="Q137" s="41"/>
    </row>
    <row r="138" spans="1:17" s="15" customFormat="1" ht="26.25" customHeight="1" x14ac:dyDescent="0.2">
      <c r="A138" s="43" t="s">
        <v>336</v>
      </c>
      <c r="B138" s="46" t="s">
        <v>26</v>
      </c>
      <c r="C138" s="44" t="s">
        <v>31</v>
      </c>
      <c r="D138" s="47" t="s">
        <v>369</v>
      </c>
      <c r="E138" s="46" t="s">
        <v>33</v>
      </c>
      <c r="F138" s="35">
        <v>25000</v>
      </c>
      <c r="G138" s="40">
        <v>25000</v>
      </c>
      <c r="H138" s="35">
        <v>0</v>
      </c>
      <c r="I138" s="35">
        <f t="shared" si="4"/>
        <v>25000</v>
      </c>
      <c r="J138" s="36">
        <f t="shared" si="5"/>
        <v>0</v>
      </c>
      <c r="K138" s="48" t="s">
        <v>37</v>
      </c>
      <c r="L138" s="48" t="s">
        <v>37</v>
      </c>
      <c r="M138" s="38">
        <v>41455</v>
      </c>
      <c r="N138" s="37"/>
      <c r="O138" s="41">
        <v>25000</v>
      </c>
      <c r="P138" s="41"/>
      <c r="Q138" s="41"/>
    </row>
    <row r="139" spans="1:17" s="15" customFormat="1" ht="26.25" customHeight="1" x14ac:dyDescent="0.2">
      <c r="A139" s="43" t="s">
        <v>337</v>
      </c>
      <c r="B139" s="46" t="s">
        <v>26</v>
      </c>
      <c r="C139" s="44" t="s">
        <v>352</v>
      </c>
      <c r="D139" s="47" t="s">
        <v>370</v>
      </c>
      <c r="E139" s="46" t="s">
        <v>35</v>
      </c>
      <c r="F139" s="35">
        <v>20000</v>
      </c>
      <c r="G139" s="40">
        <v>20000</v>
      </c>
      <c r="H139" s="35">
        <v>0</v>
      </c>
      <c r="I139" s="35">
        <f t="shared" si="4"/>
        <v>20000</v>
      </c>
      <c r="J139" s="36">
        <f t="shared" si="5"/>
        <v>0</v>
      </c>
      <c r="K139" s="48" t="s">
        <v>37</v>
      </c>
      <c r="L139" s="48" t="s">
        <v>37</v>
      </c>
      <c r="M139" s="38">
        <v>41455</v>
      </c>
      <c r="N139" s="37"/>
      <c r="O139" s="41">
        <v>20000</v>
      </c>
      <c r="P139" s="41"/>
      <c r="Q139" s="41"/>
    </row>
    <row r="140" spans="1:17" s="15" customFormat="1" ht="38.25" customHeight="1" x14ac:dyDescent="0.2">
      <c r="A140" s="43" t="s">
        <v>338</v>
      </c>
      <c r="B140" s="46" t="s">
        <v>26</v>
      </c>
      <c r="C140" s="44" t="s">
        <v>353</v>
      </c>
      <c r="D140" s="47" t="s">
        <v>41</v>
      </c>
      <c r="E140" s="46" t="s">
        <v>386</v>
      </c>
      <c r="F140" s="35">
        <v>20000</v>
      </c>
      <c r="G140" s="40">
        <v>20000</v>
      </c>
      <c r="H140" s="35">
        <v>0</v>
      </c>
      <c r="I140" s="35">
        <f t="shared" si="4"/>
        <v>20000</v>
      </c>
      <c r="J140" s="36">
        <f t="shared" si="5"/>
        <v>0</v>
      </c>
      <c r="K140" s="48" t="s">
        <v>37</v>
      </c>
      <c r="L140" s="48" t="s">
        <v>37</v>
      </c>
      <c r="M140" s="38">
        <v>41455</v>
      </c>
      <c r="N140" s="37"/>
      <c r="O140" s="41">
        <v>20000</v>
      </c>
      <c r="P140" s="41"/>
      <c r="Q140" s="41"/>
    </row>
    <row r="141" spans="1:17" s="15" customFormat="1" ht="26.25" customHeight="1" x14ac:dyDescent="0.2">
      <c r="A141" s="43" t="s">
        <v>339</v>
      </c>
      <c r="B141" s="46" t="s">
        <v>26</v>
      </c>
      <c r="C141" s="44" t="s">
        <v>353</v>
      </c>
      <c r="D141" s="47" t="s">
        <v>371</v>
      </c>
      <c r="E141" s="46" t="s">
        <v>33</v>
      </c>
      <c r="F141" s="35">
        <v>30000</v>
      </c>
      <c r="G141" s="40">
        <v>30000</v>
      </c>
      <c r="H141" s="35">
        <v>0</v>
      </c>
      <c r="I141" s="35">
        <f t="shared" si="4"/>
        <v>30000</v>
      </c>
      <c r="J141" s="36">
        <f t="shared" si="5"/>
        <v>0</v>
      </c>
      <c r="K141" s="48" t="s">
        <v>37</v>
      </c>
      <c r="L141" s="48" t="s">
        <v>37</v>
      </c>
      <c r="M141" s="38">
        <v>41455</v>
      </c>
      <c r="N141" s="37"/>
      <c r="O141" s="41">
        <v>30000</v>
      </c>
      <c r="P141" s="41"/>
      <c r="Q141" s="41"/>
    </row>
    <row r="142" spans="1:17" s="15" customFormat="1" ht="26.25" customHeight="1" x14ac:dyDescent="0.2">
      <c r="A142" s="43" t="s">
        <v>340</v>
      </c>
      <c r="B142" s="46" t="s">
        <v>26</v>
      </c>
      <c r="C142" s="44" t="s">
        <v>354</v>
      </c>
      <c r="D142" s="47" t="s">
        <v>372</v>
      </c>
      <c r="E142" s="46" t="s">
        <v>33</v>
      </c>
      <c r="F142" s="35">
        <v>20000</v>
      </c>
      <c r="G142" s="40">
        <v>20000</v>
      </c>
      <c r="H142" s="35">
        <v>0</v>
      </c>
      <c r="I142" s="35">
        <f t="shared" si="4"/>
        <v>20000</v>
      </c>
      <c r="J142" s="36">
        <f t="shared" si="5"/>
        <v>0</v>
      </c>
      <c r="K142" s="48" t="s">
        <v>37</v>
      </c>
      <c r="L142" s="48" t="s">
        <v>37</v>
      </c>
      <c r="M142" s="38">
        <v>41455</v>
      </c>
      <c r="N142" s="37"/>
      <c r="O142" s="41">
        <v>20000</v>
      </c>
      <c r="P142" s="41"/>
      <c r="Q142" s="41"/>
    </row>
    <row r="143" spans="1:17" s="15" customFormat="1" ht="26.25" customHeight="1" x14ac:dyDescent="0.2">
      <c r="A143" s="43" t="s">
        <v>341</v>
      </c>
      <c r="B143" s="46" t="s">
        <v>26</v>
      </c>
      <c r="C143" s="44" t="s">
        <v>355</v>
      </c>
      <c r="D143" s="47" t="s">
        <v>373</v>
      </c>
      <c r="E143" s="46" t="s">
        <v>35</v>
      </c>
      <c r="F143" s="35">
        <v>20000</v>
      </c>
      <c r="G143" s="40">
        <v>20000</v>
      </c>
      <c r="H143" s="35">
        <v>0</v>
      </c>
      <c r="I143" s="35">
        <f t="shared" si="4"/>
        <v>20000</v>
      </c>
      <c r="J143" s="36">
        <f t="shared" si="5"/>
        <v>0</v>
      </c>
      <c r="K143" s="48" t="s">
        <v>37</v>
      </c>
      <c r="L143" s="48" t="s">
        <v>37</v>
      </c>
      <c r="M143" s="38">
        <v>41455</v>
      </c>
      <c r="N143" s="37"/>
      <c r="O143" s="41">
        <v>20000</v>
      </c>
      <c r="P143" s="41"/>
      <c r="Q143" s="41"/>
    </row>
    <row r="144" spans="1:17" s="15" customFormat="1" ht="38.25" customHeight="1" x14ac:dyDescent="0.2">
      <c r="A144" s="43" t="s">
        <v>405</v>
      </c>
      <c r="B144" s="46" t="s">
        <v>26</v>
      </c>
      <c r="C144" s="44" t="s">
        <v>25</v>
      </c>
      <c r="D144" s="47" t="s">
        <v>358</v>
      </c>
      <c r="E144" s="46" t="s">
        <v>436</v>
      </c>
      <c r="F144" s="35">
        <v>15000</v>
      </c>
      <c r="G144" s="40">
        <v>15000</v>
      </c>
      <c r="H144" s="35">
        <v>0</v>
      </c>
      <c r="I144" s="35">
        <f t="shared" si="4"/>
        <v>15000</v>
      </c>
      <c r="J144" s="36">
        <f t="shared" si="5"/>
        <v>0</v>
      </c>
      <c r="K144" s="48" t="s">
        <v>37</v>
      </c>
      <c r="L144" s="48" t="s">
        <v>37</v>
      </c>
      <c r="M144" s="38">
        <v>41455</v>
      </c>
      <c r="N144" s="48"/>
      <c r="O144" s="41">
        <v>15000</v>
      </c>
      <c r="P144" s="41"/>
      <c r="Q144" s="41"/>
    </row>
    <row r="145" spans="1:17" s="15" customFormat="1" ht="26.25" customHeight="1" x14ac:dyDescent="0.2">
      <c r="A145" s="43" t="s">
        <v>535</v>
      </c>
      <c r="B145" s="46" t="s">
        <v>26</v>
      </c>
      <c r="C145" s="44" t="s">
        <v>102</v>
      </c>
      <c r="D145" s="47">
        <v>4522</v>
      </c>
      <c r="E145" s="46" t="s">
        <v>566</v>
      </c>
      <c r="F145" s="35">
        <v>10542</v>
      </c>
      <c r="G145" s="40">
        <v>10542</v>
      </c>
      <c r="H145" s="35">
        <v>0</v>
      </c>
      <c r="I145" s="35">
        <f t="shared" si="4"/>
        <v>10542</v>
      </c>
      <c r="J145" s="36">
        <f t="shared" si="5"/>
        <v>0</v>
      </c>
      <c r="K145" s="48" t="s">
        <v>37</v>
      </c>
      <c r="L145" s="48" t="s">
        <v>37</v>
      </c>
      <c r="M145" s="38">
        <v>41090</v>
      </c>
      <c r="N145" s="48"/>
      <c r="O145" s="41">
        <v>10542</v>
      </c>
      <c r="P145" s="41"/>
      <c r="Q145" s="41"/>
    </row>
    <row r="146" spans="1:17" s="15" customFormat="1" ht="26.25" customHeight="1" x14ac:dyDescent="0.2">
      <c r="A146" s="43" t="s">
        <v>581</v>
      </c>
      <c r="B146" s="46" t="s">
        <v>26</v>
      </c>
      <c r="C146" s="44" t="s">
        <v>586</v>
      </c>
      <c r="D146" s="47" t="s">
        <v>41</v>
      </c>
      <c r="E146" s="46" t="s">
        <v>584</v>
      </c>
      <c r="F146" s="35">
        <v>20000</v>
      </c>
      <c r="G146" s="40">
        <v>20000</v>
      </c>
      <c r="H146" s="35">
        <v>0</v>
      </c>
      <c r="I146" s="35">
        <f t="shared" si="4"/>
        <v>20000</v>
      </c>
      <c r="J146" s="36">
        <f t="shared" si="5"/>
        <v>0</v>
      </c>
      <c r="K146" s="48" t="s">
        <v>37</v>
      </c>
      <c r="L146" s="48" t="s">
        <v>37</v>
      </c>
      <c r="M146" s="38">
        <v>41455</v>
      </c>
      <c r="N146" s="37"/>
      <c r="O146" s="41">
        <v>20000</v>
      </c>
      <c r="P146" s="35"/>
      <c r="Q146" s="35"/>
    </row>
    <row r="147" spans="1:17" s="15" customFormat="1" ht="26.25" customHeight="1" x14ac:dyDescent="0.2">
      <c r="A147" s="43" t="s">
        <v>582</v>
      </c>
      <c r="B147" s="46" t="s">
        <v>26</v>
      </c>
      <c r="C147" s="44" t="s">
        <v>586</v>
      </c>
      <c r="D147" s="47" t="s">
        <v>41</v>
      </c>
      <c r="E147" s="46" t="s">
        <v>585</v>
      </c>
      <c r="F147" s="35">
        <v>25000</v>
      </c>
      <c r="G147" s="40">
        <v>25000</v>
      </c>
      <c r="H147" s="35">
        <v>0</v>
      </c>
      <c r="I147" s="35">
        <f t="shared" si="4"/>
        <v>25000</v>
      </c>
      <c r="J147" s="36">
        <f t="shared" si="5"/>
        <v>0</v>
      </c>
      <c r="K147" s="48" t="s">
        <v>37</v>
      </c>
      <c r="L147" s="48" t="s">
        <v>37</v>
      </c>
      <c r="M147" s="38">
        <v>41455</v>
      </c>
      <c r="N147" s="37"/>
      <c r="O147" s="35">
        <v>25000</v>
      </c>
      <c r="P147" s="35"/>
      <c r="Q147" s="35"/>
    </row>
    <row r="148" spans="1:17" s="15" customFormat="1" ht="38.25" customHeight="1" x14ac:dyDescent="0.2">
      <c r="A148" s="43" t="s">
        <v>766</v>
      </c>
      <c r="B148" s="46" t="s">
        <v>26</v>
      </c>
      <c r="C148" s="44" t="s">
        <v>792</v>
      </c>
      <c r="D148" s="47" t="s">
        <v>41</v>
      </c>
      <c r="E148" s="46" t="s">
        <v>780</v>
      </c>
      <c r="F148" s="35">
        <v>99000</v>
      </c>
      <c r="G148" s="40">
        <v>99000</v>
      </c>
      <c r="H148" s="35">
        <v>0</v>
      </c>
      <c r="I148" s="35">
        <f t="shared" si="4"/>
        <v>99000</v>
      </c>
      <c r="J148" s="36">
        <f t="shared" si="5"/>
        <v>0</v>
      </c>
      <c r="K148" s="48" t="s">
        <v>37</v>
      </c>
      <c r="L148" s="48" t="s">
        <v>37</v>
      </c>
      <c r="M148" s="38">
        <v>41455</v>
      </c>
      <c r="N148" s="37"/>
      <c r="O148" s="35">
        <v>99000</v>
      </c>
      <c r="P148" s="35"/>
      <c r="Q148" s="35"/>
    </row>
    <row r="149" spans="1:17" s="15" customFormat="1" ht="26.25" customHeight="1" x14ac:dyDescent="0.2">
      <c r="A149" s="43" t="s">
        <v>773</v>
      </c>
      <c r="B149" s="46" t="s">
        <v>26</v>
      </c>
      <c r="C149" s="44" t="s">
        <v>798</v>
      </c>
      <c r="D149" s="47" t="s">
        <v>41</v>
      </c>
      <c r="E149" s="46" t="s">
        <v>785</v>
      </c>
      <c r="F149" s="35">
        <v>99000</v>
      </c>
      <c r="G149" s="40">
        <v>99000</v>
      </c>
      <c r="H149" s="35">
        <v>0</v>
      </c>
      <c r="I149" s="35">
        <f t="shared" si="4"/>
        <v>99000</v>
      </c>
      <c r="J149" s="36">
        <f t="shared" si="5"/>
        <v>0</v>
      </c>
      <c r="K149" s="48" t="s">
        <v>37</v>
      </c>
      <c r="L149" s="48" t="s">
        <v>37</v>
      </c>
      <c r="M149" s="38">
        <v>41455</v>
      </c>
      <c r="N149" s="37"/>
      <c r="O149" s="35">
        <v>99000</v>
      </c>
      <c r="P149" s="35"/>
      <c r="Q149" s="35"/>
    </row>
    <row r="150" spans="1:17" s="15" customFormat="1" ht="26.25" customHeight="1" x14ac:dyDescent="0.2">
      <c r="A150" s="43" t="s">
        <v>938</v>
      </c>
      <c r="B150" s="46" t="s">
        <v>26</v>
      </c>
      <c r="C150" s="44" t="s">
        <v>945</v>
      </c>
      <c r="D150" s="47" t="s">
        <v>41</v>
      </c>
      <c r="E150" s="46" t="s">
        <v>951</v>
      </c>
      <c r="F150" s="35">
        <v>99000</v>
      </c>
      <c r="G150" s="40">
        <v>99000</v>
      </c>
      <c r="H150" s="35">
        <v>0</v>
      </c>
      <c r="I150" s="35">
        <f t="shared" si="4"/>
        <v>99000</v>
      </c>
      <c r="J150" s="36">
        <f t="shared" si="5"/>
        <v>0</v>
      </c>
      <c r="K150" s="48" t="s">
        <v>37</v>
      </c>
      <c r="L150" s="48" t="s">
        <v>37</v>
      </c>
      <c r="M150" s="38">
        <v>41455</v>
      </c>
      <c r="N150" s="37"/>
      <c r="O150" s="35">
        <v>99000</v>
      </c>
      <c r="P150" s="35"/>
      <c r="Q150" s="35"/>
    </row>
    <row r="151" spans="1:17" s="15" customFormat="1" ht="26.25" customHeight="1" x14ac:dyDescent="0.2">
      <c r="A151" s="43" t="s">
        <v>981</v>
      </c>
      <c r="B151" s="46" t="s">
        <v>26</v>
      </c>
      <c r="C151" s="44" t="s">
        <v>986</v>
      </c>
      <c r="D151" s="47" t="s">
        <v>41</v>
      </c>
      <c r="E151" s="46" t="s">
        <v>989</v>
      </c>
      <c r="F151" s="35">
        <v>25000</v>
      </c>
      <c r="G151" s="40">
        <v>25000</v>
      </c>
      <c r="H151" s="35">
        <v>0</v>
      </c>
      <c r="I151" s="35">
        <f t="shared" si="4"/>
        <v>25000</v>
      </c>
      <c r="J151" s="36">
        <f t="shared" si="5"/>
        <v>0</v>
      </c>
      <c r="K151" s="48" t="s">
        <v>37</v>
      </c>
      <c r="L151" s="48" t="s">
        <v>37</v>
      </c>
      <c r="M151" s="38">
        <v>41455</v>
      </c>
      <c r="N151" s="37"/>
      <c r="O151" s="35">
        <v>25000</v>
      </c>
      <c r="P151" s="35"/>
      <c r="Q151" s="35"/>
    </row>
    <row r="152" spans="1:17" s="15" customFormat="1" ht="26.25" customHeight="1" x14ac:dyDescent="0.2">
      <c r="A152" s="43" t="s">
        <v>1037</v>
      </c>
      <c r="B152" s="46" t="s">
        <v>26</v>
      </c>
      <c r="C152" s="44" t="s">
        <v>1041</v>
      </c>
      <c r="D152" s="47" t="s">
        <v>41</v>
      </c>
      <c r="E152" s="46" t="s">
        <v>1044</v>
      </c>
      <c r="F152" s="35">
        <v>85000</v>
      </c>
      <c r="G152" s="40">
        <v>85000</v>
      </c>
      <c r="H152" s="35">
        <v>0</v>
      </c>
      <c r="I152" s="35">
        <f t="shared" si="4"/>
        <v>85000</v>
      </c>
      <c r="J152" s="36">
        <f t="shared" si="5"/>
        <v>0</v>
      </c>
      <c r="K152" s="48" t="s">
        <v>37</v>
      </c>
      <c r="L152" s="48" t="s">
        <v>37</v>
      </c>
      <c r="M152" s="38">
        <v>41455</v>
      </c>
      <c r="N152" s="37"/>
      <c r="O152" s="35">
        <v>85000</v>
      </c>
      <c r="P152" s="35"/>
      <c r="Q152" s="35"/>
    </row>
    <row r="153" spans="1:17" s="15" customFormat="1" ht="26.25" customHeight="1" x14ac:dyDescent="0.2">
      <c r="A153" s="43" t="s">
        <v>1278</v>
      </c>
      <c r="B153" s="46" t="s">
        <v>26</v>
      </c>
      <c r="C153" s="44" t="s">
        <v>622</v>
      </c>
      <c r="D153" s="47" t="s">
        <v>41</v>
      </c>
      <c r="E153" s="46" t="s">
        <v>1280</v>
      </c>
      <c r="F153" s="35">
        <v>99000</v>
      </c>
      <c r="G153" s="40">
        <v>99000</v>
      </c>
      <c r="H153" s="35">
        <v>0</v>
      </c>
      <c r="I153" s="35">
        <f t="shared" si="4"/>
        <v>99000</v>
      </c>
      <c r="J153" s="36">
        <f t="shared" si="5"/>
        <v>0</v>
      </c>
      <c r="K153" s="48" t="s">
        <v>37</v>
      </c>
      <c r="L153" s="48" t="s">
        <v>37</v>
      </c>
      <c r="M153" s="38">
        <v>41455</v>
      </c>
      <c r="N153" s="48"/>
      <c r="O153" s="35">
        <v>99000</v>
      </c>
      <c r="P153" s="35"/>
      <c r="Q153" s="35"/>
    </row>
    <row r="154" spans="1:17" s="15" customFormat="1" ht="26.25" customHeight="1" x14ac:dyDescent="0.2">
      <c r="A154" s="43" t="s">
        <v>1339</v>
      </c>
      <c r="B154" s="46" t="s">
        <v>26</v>
      </c>
      <c r="C154" s="44" t="s">
        <v>25</v>
      </c>
      <c r="D154" s="47" t="s">
        <v>41</v>
      </c>
      <c r="E154" s="46" t="s">
        <v>1343</v>
      </c>
      <c r="F154" s="35">
        <v>25000</v>
      </c>
      <c r="G154" s="40">
        <v>15000</v>
      </c>
      <c r="H154" s="35">
        <f>30000+25000</f>
        <v>55000</v>
      </c>
      <c r="I154" s="35">
        <f t="shared" si="4"/>
        <v>70000</v>
      </c>
      <c r="J154" s="36">
        <f t="shared" si="5"/>
        <v>3.6666666666666665</v>
      </c>
      <c r="K154" s="48" t="s">
        <v>37</v>
      </c>
      <c r="L154" s="48" t="s">
        <v>37</v>
      </c>
      <c r="M154" s="38">
        <v>41455</v>
      </c>
      <c r="N154" s="48" t="s">
        <v>36</v>
      </c>
      <c r="O154" s="35">
        <v>25000</v>
      </c>
      <c r="P154" s="35"/>
      <c r="Q154" s="35"/>
    </row>
    <row r="155" spans="1:17" s="15" customFormat="1" ht="38.25" customHeight="1" x14ac:dyDescent="0.2">
      <c r="A155" s="43" t="s">
        <v>1060</v>
      </c>
      <c r="B155" s="46" t="s">
        <v>1067</v>
      </c>
      <c r="C155" s="44" t="s">
        <v>25</v>
      </c>
      <c r="D155" s="47" t="s">
        <v>41</v>
      </c>
      <c r="E155" s="46" t="s">
        <v>1073</v>
      </c>
      <c r="F155" s="35">
        <v>30000</v>
      </c>
      <c r="G155" s="40">
        <v>15000</v>
      </c>
      <c r="H155" s="35">
        <v>30000</v>
      </c>
      <c r="I155" s="35">
        <f t="shared" si="4"/>
        <v>45000</v>
      </c>
      <c r="J155" s="36">
        <f t="shared" si="5"/>
        <v>2</v>
      </c>
      <c r="K155" s="48" t="s">
        <v>37</v>
      </c>
      <c r="L155" s="48" t="s">
        <v>37</v>
      </c>
      <c r="M155" s="38">
        <v>41455</v>
      </c>
      <c r="N155" s="48" t="s">
        <v>36</v>
      </c>
      <c r="O155" s="35">
        <v>30000</v>
      </c>
      <c r="P155" s="35"/>
      <c r="Q155" s="35"/>
    </row>
    <row r="156" spans="1:17" s="15" customFormat="1" ht="26.25" customHeight="1" x14ac:dyDescent="0.2">
      <c r="A156" s="43" t="s">
        <v>1085</v>
      </c>
      <c r="B156" s="46" t="s">
        <v>1067</v>
      </c>
      <c r="C156" s="44" t="s">
        <v>1092</v>
      </c>
      <c r="D156" s="34">
        <v>5464</v>
      </c>
      <c r="E156" s="46" t="s">
        <v>1096</v>
      </c>
      <c r="F156" s="35">
        <v>30000</v>
      </c>
      <c r="G156" s="40">
        <v>30000</v>
      </c>
      <c r="H156" s="35">
        <v>0</v>
      </c>
      <c r="I156" s="35">
        <f t="shared" si="4"/>
        <v>30000</v>
      </c>
      <c r="J156" s="36">
        <f t="shared" si="5"/>
        <v>0</v>
      </c>
      <c r="K156" s="48" t="s">
        <v>37</v>
      </c>
      <c r="L156" s="48" t="s">
        <v>37</v>
      </c>
      <c r="M156" s="38">
        <v>41547</v>
      </c>
      <c r="N156" s="48"/>
      <c r="O156" s="35">
        <v>30000</v>
      </c>
      <c r="P156" s="35"/>
      <c r="Q156" s="35"/>
    </row>
    <row r="157" spans="1:17" s="15" customFormat="1" ht="38.25" customHeight="1" x14ac:dyDescent="0.2">
      <c r="A157" s="43" t="s">
        <v>1149</v>
      </c>
      <c r="B157" s="46" t="s">
        <v>1067</v>
      </c>
      <c r="C157" s="44" t="s">
        <v>1153</v>
      </c>
      <c r="D157" s="34">
        <v>5584</v>
      </c>
      <c r="E157" s="46" t="s">
        <v>1157</v>
      </c>
      <c r="F157" s="35">
        <v>60000</v>
      </c>
      <c r="G157" s="40">
        <v>60000</v>
      </c>
      <c r="H157" s="35">
        <v>0</v>
      </c>
      <c r="I157" s="35">
        <f t="shared" si="4"/>
        <v>60000</v>
      </c>
      <c r="J157" s="36">
        <f t="shared" si="5"/>
        <v>0</v>
      </c>
      <c r="K157" s="48" t="s">
        <v>37</v>
      </c>
      <c r="L157" s="48" t="s">
        <v>37</v>
      </c>
      <c r="M157" s="38">
        <v>41455</v>
      </c>
      <c r="N157" s="48"/>
      <c r="O157" s="35">
        <v>60000</v>
      </c>
      <c r="P157" s="35"/>
      <c r="Q157" s="35"/>
    </row>
    <row r="158" spans="1:17" s="15" customFormat="1" ht="26.25" customHeight="1" x14ac:dyDescent="0.2">
      <c r="A158" s="43" t="s">
        <v>1162</v>
      </c>
      <c r="B158" s="46" t="s">
        <v>1067</v>
      </c>
      <c r="C158" s="44" t="s">
        <v>1164</v>
      </c>
      <c r="D158" s="47" t="s">
        <v>1167</v>
      </c>
      <c r="E158" s="46" t="s">
        <v>1171</v>
      </c>
      <c r="F158" s="35">
        <v>49000</v>
      </c>
      <c r="G158" s="40">
        <v>49000</v>
      </c>
      <c r="H158" s="35">
        <v>0</v>
      </c>
      <c r="I158" s="35">
        <f t="shared" si="4"/>
        <v>49000</v>
      </c>
      <c r="J158" s="36">
        <f t="shared" si="5"/>
        <v>0</v>
      </c>
      <c r="K158" s="48" t="s">
        <v>37</v>
      </c>
      <c r="L158" s="48" t="s">
        <v>37</v>
      </c>
      <c r="M158" s="38">
        <v>41455</v>
      </c>
      <c r="N158" s="48"/>
      <c r="O158" s="35">
        <v>49000</v>
      </c>
      <c r="P158" s="35"/>
      <c r="Q158" s="35"/>
    </row>
    <row r="159" spans="1:17" s="15" customFormat="1" ht="26.25" customHeight="1" x14ac:dyDescent="0.2">
      <c r="A159" s="43" t="s">
        <v>133</v>
      </c>
      <c r="B159" s="46" t="s">
        <v>39</v>
      </c>
      <c r="C159" s="44" t="s">
        <v>141</v>
      </c>
      <c r="D159" s="34">
        <v>3881</v>
      </c>
      <c r="E159" s="46" t="s">
        <v>137</v>
      </c>
      <c r="F159" s="35">
        <v>98000</v>
      </c>
      <c r="G159" s="40">
        <v>98000</v>
      </c>
      <c r="H159" s="35">
        <v>0</v>
      </c>
      <c r="I159" s="35">
        <f t="shared" si="4"/>
        <v>98000</v>
      </c>
      <c r="J159" s="36">
        <f t="shared" si="5"/>
        <v>0</v>
      </c>
      <c r="K159" s="48" t="s">
        <v>37</v>
      </c>
      <c r="L159" s="48" t="s">
        <v>37</v>
      </c>
      <c r="M159" s="38">
        <v>41090</v>
      </c>
      <c r="N159" s="37"/>
      <c r="O159" s="41">
        <v>98000</v>
      </c>
      <c r="P159" s="41"/>
      <c r="Q159" s="41"/>
    </row>
    <row r="160" spans="1:17" s="15" customFormat="1" ht="26.25" customHeight="1" x14ac:dyDescent="0.2">
      <c r="A160" s="43" t="s">
        <v>134</v>
      </c>
      <c r="B160" s="46" t="s">
        <v>39</v>
      </c>
      <c r="C160" s="44" t="s">
        <v>142</v>
      </c>
      <c r="D160" s="34">
        <v>3727</v>
      </c>
      <c r="E160" s="46" t="s">
        <v>138</v>
      </c>
      <c r="F160" s="35">
        <v>99064</v>
      </c>
      <c r="G160" s="40">
        <v>99064</v>
      </c>
      <c r="H160" s="35"/>
      <c r="I160" s="35">
        <f t="shared" si="4"/>
        <v>99064</v>
      </c>
      <c r="J160" s="36">
        <f t="shared" si="5"/>
        <v>0</v>
      </c>
      <c r="K160" s="48" t="s">
        <v>42</v>
      </c>
      <c r="L160" s="48" t="s">
        <v>42</v>
      </c>
      <c r="M160" s="38">
        <v>41465</v>
      </c>
      <c r="N160" s="37"/>
      <c r="O160" s="41">
        <v>99064</v>
      </c>
      <c r="P160" s="41"/>
      <c r="Q160" s="41"/>
    </row>
    <row r="161" spans="1:17" s="15" customFormat="1" ht="18" customHeight="1" x14ac:dyDescent="0.2">
      <c r="A161" s="43" t="s">
        <v>218</v>
      </c>
      <c r="B161" s="46" t="s">
        <v>39</v>
      </c>
      <c r="C161" s="44" t="s">
        <v>230</v>
      </c>
      <c r="D161" s="34">
        <v>4201</v>
      </c>
      <c r="E161" s="46" t="s">
        <v>236</v>
      </c>
      <c r="F161" s="35">
        <v>10138</v>
      </c>
      <c r="G161" s="40">
        <v>10138</v>
      </c>
      <c r="H161" s="35">
        <v>0</v>
      </c>
      <c r="I161" s="35">
        <f t="shared" si="4"/>
        <v>10138</v>
      </c>
      <c r="J161" s="36">
        <f t="shared" si="5"/>
        <v>0</v>
      </c>
      <c r="K161" s="48" t="s">
        <v>37</v>
      </c>
      <c r="L161" s="48" t="s">
        <v>37</v>
      </c>
      <c r="M161" s="38">
        <v>41419</v>
      </c>
      <c r="N161" s="37"/>
      <c r="O161" s="41">
        <v>10138</v>
      </c>
      <c r="P161" s="41"/>
      <c r="Q161" s="41"/>
    </row>
    <row r="162" spans="1:17" s="15" customFormat="1" ht="26.25" customHeight="1" x14ac:dyDescent="0.2">
      <c r="A162" s="43" t="s">
        <v>226</v>
      </c>
      <c r="B162" s="46" t="s">
        <v>39</v>
      </c>
      <c r="C162" s="44" t="s">
        <v>234</v>
      </c>
      <c r="D162" s="34">
        <v>4220</v>
      </c>
      <c r="E162" s="46" t="s">
        <v>244</v>
      </c>
      <c r="F162" s="35">
        <f>18529*3</f>
        <v>55587</v>
      </c>
      <c r="G162" s="40">
        <f>18529*3</f>
        <v>55587</v>
      </c>
      <c r="H162" s="35">
        <v>0</v>
      </c>
      <c r="I162" s="35">
        <f t="shared" si="4"/>
        <v>55587</v>
      </c>
      <c r="J162" s="36">
        <f t="shared" si="5"/>
        <v>0</v>
      </c>
      <c r="K162" s="48" t="s">
        <v>37</v>
      </c>
      <c r="L162" s="48" t="s">
        <v>37</v>
      </c>
      <c r="M162" s="38">
        <v>41455</v>
      </c>
      <c r="N162" s="48" t="s">
        <v>64</v>
      </c>
      <c r="O162" s="41">
        <v>18529</v>
      </c>
      <c r="P162" s="41">
        <v>18529</v>
      </c>
      <c r="Q162" s="41">
        <v>18529</v>
      </c>
    </row>
    <row r="163" spans="1:17" s="15" customFormat="1" ht="18" customHeight="1" x14ac:dyDescent="0.2">
      <c r="A163" s="43" t="s">
        <v>227</v>
      </c>
      <c r="B163" s="46" t="s">
        <v>39</v>
      </c>
      <c r="C163" s="44" t="s">
        <v>235</v>
      </c>
      <c r="D163" s="34">
        <v>4218</v>
      </c>
      <c r="E163" s="46" t="s">
        <v>245</v>
      </c>
      <c r="F163" s="35">
        <f>6500*3</f>
        <v>19500</v>
      </c>
      <c r="G163" s="40">
        <f>6500*3</f>
        <v>19500</v>
      </c>
      <c r="H163" s="35">
        <v>0</v>
      </c>
      <c r="I163" s="35">
        <f t="shared" si="4"/>
        <v>19500</v>
      </c>
      <c r="J163" s="36">
        <f t="shared" si="5"/>
        <v>0</v>
      </c>
      <c r="K163" s="48" t="s">
        <v>37</v>
      </c>
      <c r="L163" s="48" t="s">
        <v>37</v>
      </c>
      <c r="M163" s="38">
        <v>41425</v>
      </c>
      <c r="N163" s="48" t="s">
        <v>64</v>
      </c>
      <c r="O163" s="41">
        <v>6500</v>
      </c>
      <c r="P163" s="41">
        <v>6500</v>
      </c>
      <c r="Q163" s="41">
        <v>6500</v>
      </c>
    </row>
    <row r="164" spans="1:17" s="15" customFormat="1" ht="18" customHeight="1" x14ac:dyDescent="0.2">
      <c r="A164" s="43" t="s">
        <v>253</v>
      </c>
      <c r="B164" s="46" t="s">
        <v>39</v>
      </c>
      <c r="C164" s="44" t="s">
        <v>286</v>
      </c>
      <c r="D164" s="34">
        <v>4219</v>
      </c>
      <c r="E164" s="46" t="s">
        <v>269</v>
      </c>
      <c r="F164" s="35">
        <f>84654*3</f>
        <v>253962</v>
      </c>
      <c r="G164" s="40">
        <f>84654*3</f>
        <v>253962</v>
      </c>
      <c r="H164" s="35">
        <v>0</v>
      </c>
      <c r="I164" s="35">
        <f t="shared" si="4"/>
        <v>253962</v>
      </c>
      <c r="J164" s="36">
        <f t="shared" si="5"/>
        <v>0</v>
      </c>
      <c r="K164" s="48" t="s">
        <v>37</v>
      </c>
      <c r="L164" s="48" t="s">
        <v>37</v>
      </c>
      <c r="M164" s="38">
        <v>41455</v>
      </c>
      <c r="N164" s="48" t="s">
        <v>64</v>
      </c>
      <c r="O164" s="41">
        <v>84654</v>
      </c>
      <c r="P164" s="41">
        <v>84654</v>
      </c>
      <c r="Q164" s="41">
        <v>84654</v>
      </c>
    </row>
    <row r="165" spans="1:17" s="15" customFormat="1" ht="26.25" customHeight="1" x14ac:dyDescent="0.2">
      <c r="A165" s="43" t="s">
        <v>389</v>
      </c>
      <c r="B165" s="46" t="s">
        <v>39</v>
      </c>
      <c r="C165" s="44" t="s">
        <v>89</v>
      </c>
      <c r="D165" s="47" t="s">
        <v>418</v>
      </c>
      <c r="E165" s="46" t="s">
        <v>115</v>
      </c>
      <c r="F165" s="35">
        <v>25000</v>
      </c>
      <c r="G165" s="40">
        <v>16000</v>
      </c>
      <c r="H165" s="35">
        <f>20000+21500+25000</f>
        <v>66500</v>
      </c>
      <c r="I165" s="35">
        <f t="shared" si="4"/>
        <v>82500</v>
      </c>
      <c r="J165" s="36">
        <f t="shared" si="5"/>
        <v>4.15625</v>
      </c>
      <c r="K165" s="48" t="s">
        <v>37</v>
      </c>
      <c r="L165" s="48" t="s">
        <v>37</v>
      </c>
      <c r="M165" s="38">
        <v>41182</v>
      </c>
      <c r="N165" s="48" t="s">
        <v>36</v>
      </c>
      <c r="O165" s="41">
        <v>25000</v>
      </c>
      <c r="P165" s="41"/>
      <c r="Q165" s="41"/>
    </row>
    <row r="166" spans="1:17" s="15" customFormat="1" ht="26.25" customHeight="1" x14ac:dyDescent="0.2">
      <c r="A166" s="43" t="s">
        <v>390</v>
      </c>
      <c r="B166" s="46" t="s">
        <v>39</v>
      </c>
      <c r="C166" s="44" t="s">
        <v>100</v>
      </c>
      <c r="D166" s="47" t="s">
        <v>419</v>
      </c>
      <c r="E166" s="46" t="s">
        <v>101</v>
      </c>
      <c r="F166" s="35">
        <v>25600</v>
      </c>
      <c r="G166" s="40">
        <v>25000</v>
      </c>
      <c r="H166" s="35">
        <v>25600</v>
      </c>
      <c r="I166" s="35">
        <f t="shared" si="4"/>
        <v>50600</v>
      </c>
      <c r="J166" s="36">
        <f t="shared" si="5"/>
        <v>1.024</v>
      </c>
      <c r="K166" s="48" t="s">
        <v>37</v>
      </c>
      <c r="L166" s="48" t="s">
        <v>37</v>
      </c>
      <c r="M166" s="38">
        <v>41213</v>
      </c>
      <c r="N166" s="48" t="s">
        <v>36</v>
      </c>
      <c r="O166" s="41">
        <v>25600</v>
      </c>
      <c r="P166" s="41"/>
      <c r="Q166" s="41"/>
    </row>
    <row r="167" spans="1:17" s="15" customFormat="1" ht="26.25" customHeight="1" x14ac:dyDescent="0.2">
      <c r="A167" s="43" t="s">
        <v>391</v>
      </c>
      <c r="B167" s="46" t="s">
        <v>39</v>
      </c>
      <c r="C167" s="44" t="s">
        <v>406</v>
      </c>
      <c r="D167" s="34">
        <v>4302</v>
      </c>
      <c r="E167" s="46" t="s">
        <v>422</v>
      </c>
      <c r="F167" s="35">
        <f>20000*3</f>
        <v>60000</v>
      </c>
      <c r="G167" s="40">
        <f>20000*3</f>
        <v>60000</v>
      </c>
      <c r="H167" s="35">
        <v>0</v>
      </c>
      <c r="I167" s="35">
        <f t="shared" si="4"/>
        <v>60000</v>
      </c>
      <c r="J167" s="36">
        <f t="shared" si="5"/>
        <v>0</v>
      </c>
      <c r="K167" s="48" t="s">
        <v>37</v>
      </c>
      <c r="L167" s="48" t="s">
        <v>37</v>
      </c>
      <c r="M167" s="38">
        <v>41441</v>
      </c>
      <c r="N167" s="48" t="s">
        <v>64</v>
      </c>
      <c r="O167" s="41">
        <v>20000</v>
      </c>
      <c r="P167" s="41">
        <v>20000</v>
      </c>
      <c r="Q167" s="41">
        <v>20000</v>
      </c>
    </row>
    <row r="168" spans="1:17" s="15" customFormat="1" ht="26.25" customHeight="1" x14ac:dyDescent="0.2">
      <c r="A168" s="43" t="s">
        <v>439</v>
      </c>
      <c r="B168" s="46" t="s">
        <v>39</v>
      </c>
      <c r="C168" s="44" t="s">
        <v>454</v>
      </c>
      <c r="D168" s="47">
        <v>4381</v>
      </c>
      <c r="E168" s="46" t="s">
        <v>465</v>
      </c>
      <c r="F168" s="35">
        <f>26462*3</f>
        <v>79386</v>
      </c>
      <c r="G168" s="40">
        <f>26462*3</f>
        <v>79386</v>
      </c>
      <c r="H168" s="35">
        <v>0</v>
      </c>
      <c r="I168" s="35">
        <f t="shared" si="4"/>
        <v>79386</v>
      </c>
      <c r="J168" s="36">
        <f t="shared" si="5"/>
        <v>0</v>
      </c>
      <c r="K168" s="48" t="s">
        <v>37</v>
      </c>
      <c r="L168" s="48" t="s">
        <v>37</v>
      </c>
      <c r="M168" s="38">
        <v>41486</v>
      </c>
      <c r="N168" s="48" t="s">
        <v>64</v>
      </c>
      <c r="O168" s="41">
        <v>26462</v>
      </c>
      <c r="P168" s="41">
        <v>26462</v>
      </c>
      <c r="Q168" s="41">
        <v>26462</v>
      </c>
    </row>
    <row r="169" spans="1:17" s="15" customFormat="1" ht="18" customHeight="1" x14ac:dyDescent="0.2">
      <c r="A169" s="43" t="s">
        <v>443</v>
      </c>
      <c r="B169" s="46" t="s">
        <v>39</v>
      </c>
      <c r="C169" s="44" t="s">
        <v>91</v>
      </c>
      <c r="D169" s="47">
        <v>4318</v>
      </c>
      <c r="E169" s="46" t="s">
        <v>469</v>
      </c>
      <c r="F169" s="35">
        <f>13970+14500+15000</f>
        <v>43470</v>
      </c>
      <c r="G169" s="40">
        <f>13970+14500+15000</f>
        <v>43470</v>
      </c>
      <c r="H169" s="35">
        <v>0</v>
      </c>
      <c r="I169" s="35">
        <f t="shared" si="4"/>
        <v>43470</v>
      </c>
      <c r="J169" s="36">
        <f t="shared" si="5"/>
        <v>0</v>
      </c>
      <c r="K169" s="48" t="s">
        <v>37</v>
      </c>
      <c r="L169" s="48" t="s">
        <v>37</v>
      </c>
      <c r="M169" s="38">
        <v>41425</v>
      </c>
      <c r="N169" s="48" t="s">
        <v>64</v>
      </c>
      <c r="O169" s="41">
        <v>13970</v>
      </c>
      <c r="P169" s="41">
        <v>14500</v>
      </c>
      <c r="Q169" s="41">
        <v>15000</v>
      </c>
    </row>
    <row r="170" spans="1:17" s="15" customFormat="1" ht="26.25" customHeight="1" x14ac:dyDescent="0.2">
      <c r="A170" s="43" t="s">
        <v>447</v>
      </c>
      <c r="B170" s="46" t="s">
        <v>39</v>
      </c>
      <c r="C170" s="44" t="s">
        <v>459</v>
      </c>
      <c r="D170" s="47">
        <v>4307</v>
      </c>
      <c r="E170" s="46" t="s">
        <v>473</v>
      </c>
      <c r="F170" s="35">
        <f>30000*3</f>
        <v>90000</v>
      </c>
      <c r="G170" s="40">
        <f>30000*3</f>
        <v>90000</v>
      </c>
      <c r="H170" s="35">
        <v>0</v>
      </c>
      <c r="I170" s="35">
        <f t="shared" si="4"/>
        <v>90000</v>
      </c>
      <c r="J170" s="36">
        <f t="shared" si="5"/>
        <v>0</v>
      </c>
      <c r="K170" s="48" t="s">
        <v>37</v>
      </c>
      <c r="L170" s="48" t="s">
        <v>37</v>
      </c>
      <c r="M170" s="38">
        <v>41425</v>
      </c>
      <c r="N170" s="48" t="s">
        <v>64</v>
      </c>
      <c r="O170" s="41">
        <v>30000</v>
      </c>
      <c r="P170" s="41">
        <v>30000</v>
      </c>
      <c r="Q170" s="41">
        <v>30000</v>
      </c>
    </row>
    <row r="171" spans="1:17" s="15" customFormat="1" ht="18" customHeight="1" x14ac:dyDescent="0.2">
      <c r="A171" s="43" t="s">
        <v>478</v>
      </c>
      <c r="B171" s="46" t="s">
        <v>39</v>
      </c>
      <c r="C171" s="44" t="s">
        <v>84</v>
      </c>
      <c r="D171" s="47">
        <v>4377</v>
      </c>
      <c r="E171" s="46" t="s">
        <v>504</v>
      </c>
      <c r="F171" s="35">
        <f>15000*3</f>
        <v>45000</v>
      </c>
      <c r="G171" s="40">
        <f>15000*3</f>
        <v>45000</v>
      </c>
      <c r="H171" s="35">
        <v>0</v>
      </c>
      <c r="I171" s="35">
        <f t="shared" si="4"/>
        <v>45000</v>
      </c>
      <c r="J171" s="36">
        <f t="shared" si="5"/>
        <v>0</v>
      </c>
      <c r="K171" s="48" t="s">
        <v>37</v>
      </c>
      <c r="L171" s="48" t="s">
        <v>37</v>
      </c>
      <c r="M171" s="38">
        <v>41455</v>
      </c>
      <c r="N171" s="48" t="s">
        <v>64</v>
      </c>
      <c r="O171" s="41">
        <v>15000</v>
      </c>
      <c r="P171" s="41">
        <v>15000</v>
      </c>
      <c r="Q171" s="41">
        <v>15000</v>
      </c>
    </row>
    <row r="172" spans="1:17" s="15" customFormat="1" ht="18" customHeight="1" x14ac:dyDescent="0.2">
      <c r="A172" s="43" t="s">
        <v>479</v>
      </c>
      <c r="B172" s="46" t="s">
        <v>39</v>
      </c>
      <c r="C172" s="44" t="s">
        <v>494</v>
      </c>
      <c r="D172" s="47">
        <v>4391</v>
      </c>
      <c r="E172" s="46" t="s">
        <v>505</v>
      </c>
      <c r="F172" s="35">
        <f>14696*3</f>
        <v>44088</v>
      </c>
      <c r="G172" s="40">
        <f>14696*3</f>
        <v>44088</v>
      </c>
      <c r="H172" s="35">
        <v>0</v>
      </c>
      <c r="I172" s="35">
        <f t="shared" si="4"/>
        <v>44088</v>
      </c>
      <c r="J172" s="36">
        <f t="shared" si="5"/>
        <v>0</v>
      </c>
      <c r="K172" s="48" t="s">
        <v>37</v>
      </c>
      <c r="L172" s="48" t="s">
        <v>37</v>
      </c>
      <c r="M172" s="38">
        <v>41517</v>
      </c>
      <c r="N172" s="48" t="s">
        <v>64</v>
      </c>
      <c r="O172" s="41">
        <v>14696</v>
      </c>
      <c r="P172" s="41">
        <v>14696</v>
      </c>
      <c r="Q172" s="41">
        <v>14696</v>
      </c>
    </row>
    <row r="173" spans="1:17" s="15" customFormat="1" ht="26.25" customHeight="1" x14ac:dyDescent="0.2">
      <c r="A173" s="43" t="s">
        <v>492</v>
      </c>
      <c r="B173" s="46" t="s">
        <v>39</v>
      </c>
      <c r="C173" s="44" t="s">
        <v>503</v>
      </c>
      <c r="D173" s="47">
        <v>4396</v>
      </c>
      <c r="E173" s="46" t="s">
        <v>519</v>
      </c>
      <c r="F173" s="35">
        <f>10985*3</f>
        <v>32955</v>
      </c>
      <c r="G173" s="40">
        <f>10985*3</f>
        <v>32955</v>
      </c>
      <c r="H173" s="35">
        <v>0</v>
      </c>
      <c r="I173" s="35">
        <f t="shared" si="4"/>
        <v>32955</v>
      </c>
      <c r="J173" s="36">
        <f t="shared" si="5"/>
        <v>0</v>
      </c>
      <c r="K173" s="48" t="s">
        <v>37</v>
      </c>
      <c r="L173" s="48" t="s">
        <v>37</v>
      </c>
      <c r="M173" s="38">
        <v>41547</v>
      </c>
      <c r="N173" s="48" t="s">
        <v>64</v>
      </c>
      <c r="O173" s="41">
        <v>10985</v>
      </c>
      <c r="P173" s="41">
        <v>10985</v>
      </c>
      <c r="Q173" s="41">
        <v>10985</v>
      </c>
    </row>
    <row r="174" spans="1:17" s="15" customFormat="1" ht="26.25" customHeight="1" x14ac:dyDescent="0.2">
      <c r="A174" s="43" t="s">
        <v>520</v>
      </c>
      <c r="B174" s="46" t="s">
        <v>39</v>
      </c>
      <c r="C174" s="44" t="s">
        <v>525</v>
      </c>
      <c r="D174" s="47">
        <v>4403</v>
      </c>
      <c r="E174" s="46" t="s">
        <v>527</v>
      </c>
      <c r="F174" s="35">
        <v>51984</v>
      </c>
      <c r="G174" s="40">
        <v>51984</v>
      </c>
      <c r="H174" s="35">
        <v>0</v>
      </c>
      <c r="I174" s="35">
        <f t="shared" si="4"/>
        <v>51984</v>
      </c>
      <c r="J174" s="36">
        <f t="shared" si="5"/>
        <v>0</v>
      </c>
      <c r="K174" s="48" t="s">
        <v>37</v>
      </c>
      <c r="L174" s="48" t="s">
        <v>42</v>
      </c>
      <c r="M174" s="38">
        <v>41455</v>
      </c>
      <c r="N174" s="48"/>
      <c r="O174" s="41">
        <v>51984</v>
      </c>
      <c r="P174" s="41"/>
      <c r="Q174" s="41"/>
    </row>
    <row r="175" spans="1:17" s="15" customFormat="1" ht="26.25" customHeight="1" x14ac:dyDescent="0.2">
      <c r="A175" s="43" t="s">
        <v>534</v>
      </c>
      <c r="B175" s="46" t="s">
        <v>39</v>
      </c>
      <c r="C175" s="44" t="s">
        <v>552</v>
      </c>
      <c r="D175" s="47">
        <v>4474</v>
      </c>
      <c r="E175" s="46" t="s">
        <v>565</v>
      </c>
      <c r="F175" s="35">
        <f>12000*3</f>
        <v>36000</v>
      </c>
      <c r="G175" s="40">
        <f>12000*3</f>
        <v>36000</v>
      </c>
      <c r="H175" s="35">
        <v>0</v>
      </c>
      <c r="I175" s="35">
        <f t="shared" si="4"/>
        <v>36000</v>
      </c>
      <c r="J175" s="36">
        <f t="shared" si="5"/>
        <v>0</v>
      </c>
      <c r="K175" s="48" t="s">
        <v>37</v>
      </c>
      <c r="L175" s="48" t="s">
        <v>37</v>
      </c>
      <c r="M175" s="38">
        <v>41455</v>
      </c>
      <c r="N175" s="48" t="s">
        <v>64</v>
      </c>
      <c r="O175" s="41">
        <v>12000</v>
      </c>
      <c r="P175" s="41">
        <v>12000</v>
      </c>
      <c r="Q175" s="41">
        <v>12000</v>
      </c>
    </row>
    <row r="176" spans="1:17" s="15" customFormat="1" ht="18" customHeight="1" x14ac:dyDescent="0.2">
      <c r="A176" s="43" t="s">
        <v>549</v>
      </c>
      <c r="B176" s="46" t="s">
        <v>39</v>
      </c>
      <c r="C176" s="44" t="s">
        <v>561</v>
      </c>
      <c r="D176" s="47">
        <v>4434</v>
      </c>
      <c r="E176" s="46" t="s">
        <v>579</v>
      </c>
      <c r="F176" s="35">
        <f>10000*3</f>
        <v>30000</v>
      </c>
      <c r="G176" s="40">
        <f>10000*3</f>
        <v>30000</v>
      </c>
      <c r="H176" s="35">
        <v>0</v>
      </c>
      <c r="I176" s="35">
        <f t="shared" si="4"/>
        <v>30000</v>
      </c>
      <c r="J176" s="36">
        <f t="shared" si="5"/>
        <v>0</v>
      </c>
      <c r="K176" s="48" t="s">
        <v>37</v>
      </c>
      <c r="L176" s="48" t="s">
        <v>37</v>
      </c>
      <c r="M176" s="38">
        <v>41455</v>
      </c>
      <c r="N176" s="48" t="s">
        <v>64</v>
      </c>
      <c r="O176" s="41">
        <v>10000</v>
      </c>
      <c r="P176" s="41">
        <v>10000</v>
      </c>
      <c r="Q176" s="41">
        <v>10000</v>
      </c>
    </row>
    <row r="177" spans="1:17" s="15" customFormat="1" ht="26.25" customHeight="1" x14ac:dyDescent="0.2">
      <c r="A177" s="43" t="s">
        <v>550</v>
      </c>
      <c r="B177" s="46" t="s">
        <v>39</v>
      </c>
      <c r="C177" s="44" t="s">
        <v>562</v>
      </c>
      <c r="D177" s="34">
        <v>4477</v>
      </c>
      <c r="E177" s="46" t="s">
        <v>580</v>
      </c>
      <c r="F177" s="35">
        <f>15000*3</f>
        <v>45000</v>
      </c>
      <c r="G177" s="40">
        <f>15000*3</f>
        <v>45000</v>
      </c>
      <c r="H177" s="35">
        <v>0</v>
      </c>
      <c r="I177" s="35">
        <f t="shared" si="4"/>
        <v>45000</v>
      </c>
      <c r="J177" s="36">
        <f t="shared" si="5"/>
        <v>0</v>
      </c>
      <c r="K177" s="48" t="s">
        <v>37</v>
      </c>
      <c r="L177" s="48" t="s">
        <v>37</v>
      </c>
      <c r="M177" s="38">
        <v>41455</v>
      </c>
      <c r="N177" s="48" t="s">
        <v>64</v>
      </c>
      <c r="O177" s="35">
        <v>15000</v>
      </c>
      <c r="P177" s="35">
        <v>15000</v>
      </c>
      <c r="Q177" s="35">
        <v>15000</v>
      </c>
    </row>
    <row r="178" spans="1:17" s="15" customFormat="1" ht="26.25" customHeight="1" x14ac:dyDescent="0.2">
      <c r="A178" s="43" t="s">
        <v>605</v>
      </c>
      <c r="B178" s="46" t="s">
        <v>39</v>
      </c>
      <c r="C178" s="44" t="s">
        <v>114</v>
      </c>
      <c r="D178" s="34">
        <v>4597</v>
      </c>
      <c r="E178" s="46" t="s">
        <v>625</v>
      </c>
      <c r="F178" s="35">
        <v>99000</v>
      </c>
      <c r="G178" s="40">
        <v>99000</v>
      </c>
      <c r="H178" s="35">
        <v>0</v>
      </c>
      <c r="I178" s="35">
        <f t="shared" si="4"/>
        <v>99000</v>
      </c>
      <c r="J178" s="36">
        <f t="shared" si="5"/>
        <v>0</v>
      </c>
      <c r="K178" s="48" t="s">
        <v>37</v>
      </c>
      <c r="L178" s="48" t="s">
        <v>37</v>
      </c>
      <c r="M178" s="38">
        <v>41455</v>
      </c>
      <c r="N178" s="48"/>
      <c r="O178" s="35">
        <v>99000</v>
      </c>
      <c r="P178" s="35"/>
      <c r="Q178" s="35"/>
    </row>
    <row r="179" spans="1:17" s="15" customFormat="1" ht="26.25" customHeight="1" x14ac:dyDescent="0.2">
      <c r="A179" s="43" t="s">
        <v>606</v>
      </c>
      <c r="B179" s="46" t="s">
        <v>39</v>
      </c>
      <c r="C179" s="44" t="s">
        <v>617</v>
      </c>
      <c r="D179" s="34">
        <v>4628</v>
      </c>
      <c r="E179" s="46" t="s">
        <v>626</v>
      </c>
      <c r="F179" s="35">
        <v>99000</v>
      </c>
      <c r="G179" s="40">
        <v>99000</v>
      </c>
      <c r="H179" s="35">
        <v>0</v>
      </c>
      <c r="I179" s="35">
        <f t="shared" si="4"/>
        <v>99000</v>
      </c>
      <c r="J179" s="36">
        <f t="shared" si="5"/>
        <v>0</v>
      </c>
      <c r="K179" s="48" t="s">
        <v>37</v>
      </c>
      <c r="L179" s="48" t="s">
        <v>37</v>
      </c>
      <c r="M179" s="38">
        <v>41455</v>
      </c>
      <c r="N179" s="48"/>
      <c r="O179" s="35">
        <v>99000</v>
      </c>
      <c r="P179" s="35"/>
      <c r="Q179" s="35"/>
    </row>
    <row r="180" spans="1:17" s="15" customFormat="1" ht="26.25" customHeight="1" x14ac:dyDescent="0.2">
      <c r="A180" s="43" t="s">
        <v>607</v>
      </c>
      <c r="B180" s="46" t="s">
        <v>39</v>
      </c>
      <c r="C180" s="44" t="s">
        <v>618</v>
      </c>
      <c r="D180" s="34">
        <v>4629</v>
      </c>
      <c r="E180" s="46" t="s">
        <v>627</v>
      </c>
      <c r="F180" s="35">
        <v>50000</v>
      </c>
      <c r="G180" s="40">
        <v>50000</v>
      </c>
      <c r="H180" s="35">
        <v>0</v>
      </c>
      <c r="I180" s="35">
        <f t="shared" si="4"/>
        <v>50000</v>
      </c>
      <c r="J180" s="36">
        <f t="shared" si="5"/>
        <v>0</v>
      </c>
      <c r="K180" s="48" t="s">
        <v>37</v>
      </c>
      <c r="L180" s="48" t="s">
        <v>37</v>
      </c>
      <c r="M180" s="38">
        <v>41455</v>
      </c>
      <c r="N180" s="48"/>
      <c r="O180" s="35">
        <v>50000</v>
      </c>
      <c r="P180" s="35"/>
      <c r="Q180" s="35"/>
    </row>
    <row r="181" spans="1:17" s="15" customFormat="1" ht="26.25" customHeight="1" x14ac:dyDescent="0.2">
      <c r="A181" s="43" t="s">
        <v>608</v>
      </c>
      <c r="B181" s="46" t="s">
        <v>39</v>
      </c>
      <c r="C181" s="44" t="s">
        <v>619</v>
      </c>
      <c r="D181" s="34">
        <v>4633</v>
      </c>
      <c r="E181" s="46" t="s">
        <v>628</v>
      </c>
      <c r="F181" s="35">
        <v>99000</v>
      </c>
      <c r="G181" s="40">
        <v>99000</v>
      </c>
      <c r="H181" s="35">
        <v>0</v>
      </c>
      <c r="I181" s="35">
        <f t="shared" si="4"/>
        <v>99000</v>
      </c>
      <c r="J181" s="36">
        <f t="shared" si="5"/>
        <v>0</v>
      </c>
      <c r="K181" s="48" t="s">
        <v>37</v>
      </c>
      <c r="L181" s="48" t="s">
        <v>37</v>
      </c>
      <c r="M181" s="38">
        <v>41455</v>
      </c>
      <c r="N181" s="48"/>
      <c r="O181" s="35">
        <v>99000</v>
      </c>
      <c r="P181" s="35"/>
      <c r="Q181" s="35"/>
    </row>
    <row r="182" spans="1:17" s="15" customFormat="1" ht="26.25" customHeight="1" x14ac:dyDescent="0.2">
      <c r="A182" s="43" t="s">
        <v>609</v>
      </c>
      <c r="B182" s="46" t="s">
        <v>39</v>
      </c>
      <c r="C182" s="44" t="s">
        <v>106</v>
      </c>
      <c r="D182" s="34">
        <v>4627</v>
      </c>
      <c r="E182" s="46" t="s">
        <v>626</v>
      </c>
      <c r="F182" s="35">
        <v>75000</v>
      </c>
      <c r="G182" s="40">
        <v>75000</v>
      </c>
      <c r="H182" s="35">
        <v>0</v>
      </c>
      <c r="I182" s="35">
        <f t="shared" si="4"/>
        <v>75000</v>
      </c>
      <c r="J182" s="36">
        <f t="shared" si="5"/>
        <v>0</v>
      </c>
      <c r="K182" s="48" t="s">
        <v>37</v>
      </c>
      <c r="L182" s="48" t="s">
        <v>37</v>
      </c>
      <c r="M182" s="38">
        <v>41455</v>
      </c>
      <c r="N182" s="48"/>
      <c r="O182" s="35">
        <v>75000</v>
      </c>
      <c r="P182" s="35"/>
      <c r="Q182" s="35"/>
    </row>
    <row r="183" spans="1:17" s="15" customFormat="1" ht="26.25" customHeight="1" x14ac:dyDescent="0.2">
      <c r="A183" s="43" t="s">
        <v>612</v>
      </c>
      <c r="B183" s="46" t="s">
        <v>39</v>
      </c>
      <c r="C183" s="44" t="s">
        <v>123</v>
      </c>
      <c r="D183" s="34">
        <v>4664</v>
      </c>
      <c r="E183" s="46" t="s">
        <v>631</v>
      </c>
      <c r="F183" s="35">
        <v>99000</v>
      </c>
      <c r="G183" s="40">
        <v>99000</v>
      </c>
      <c r="H183" s="35">
        <v>0</v>
      </c>
      <c r="I183" s="35">
        <f t="shared" si="4"/>
        <v>99000</v>
      </c>
      <c r="J183" s="36">
        <f t="shared" si="5"/>
        <v>0</v>
      </c>
      <c r="K183" s="48" t="s">
        <v>37</v>
      </c>
      <c r="L183" s="48" t="s">
        <v>37</v>
      </c>
      <c r="M183" s="38">
        <v>41455</v>
      </c>
      <c r="N183" s="48"/>
      <c r="O183" s="35">
        <v>99000</v>
      </c>
      <c r="P183" s="35"/>
      <c r="Q183" s="35"/>
    </row>
    <row r="184" spans="1:17" s="15" customFormat="1" ht="26.25" customHeight="1" x14ac:dyDescent="0.2">
      <c r="A184" s="43" t="s">
        <v>613</v>
      </c>
      <c r="B184" s="46" t="s">
        <v>39</v>
      </c>
      <c r="C184" s="44" t="s">
        <v>621</v>
      </c>
      <c r="D184" s="34">
        <v>4661</v>
      </c>
      <c r="E184" s="46" t="s">
        <v>628</v>
      </c>
      <c r="F184" s="35">
        <v>99000</v>
      </c>
      <c r="G184" s="40">
        <v>99000</v>
      </c>
      <c r="H184" s="35">
        <v>0</v>
      </c>
      <c r="I184" s="35">
        <f t="shared" si="4"/>
        <v>99000</v>
      </c>
      <c r="J184" s="36">
        <f t="shared" si="5"/>
        <v>0</v>
      </c>
      <c r="K184" s="48" t="s">
        <v>37</v>
      </c>
      <c r="L184" s="48" t="s">
        <v>37</v>
      </c>
      <c r="M184" s="38">
        <v>41455</v>
      </c>
      <c r="N184" s="48"/>
      <c r="O184" s="35">
        <v>99000</v>
      </c>
      <c r="P184" s="35"/>
      <c r="Q184" s="35"/>
    </row>
    <row r="185" spans="1:17" s="15" customFormat="1" ht="26.25" customHeight="1" x14ac:dyDescent="0.2">
      <c r="A185" s="43" t="s">
        <v>614</v>
      </c>
      <c r="B185" s="46" t="s">
        <v>39</v>
      </c>
      <c r="C185" s="44" t="s">
        <v>622</v>
      </c>
      <c r="D185" s="34">
        <v>4460</v>
      </c>
      <c r="E185" s="46" t="s">
        <v>632</v>
      </c>
      <c r="F185" s="35">
        <v>99000</v>
      </c>
      <c r="G185" s="40">
        <v>99000</v>
      </c>
      <c r="H185" s="35">
        <v>0</v>
      </c>
      <c r="I185" s="35">
        <f t="shared" si="4"/>
        <v>99000</v>
      </c>
      <c r="J185" s="36">
        <f t="shared" si="5"/>
        <v>0</v>
      </c>
      <c r="K185" s="48" t="s">
        <v>37</v>
      </c>
      <c r="L185" s="48" t="s">
        <v>37</v>
      </c>
      <c r="M185" s="38">
        <v>41455</v>
      </c>
      <c r="N185" s="37"/>
      <c r="O185" s="35">
        <v>99000</v>
      </c>
      <c r="P185" s="35"/>
      <c r="Q185" s="35"/>
    </row>
    <row r="186" spans="1:17" s="15" customFormat="1" ht="26.25" customHeight="1" x14ac:dyDescent="0.2">
      <c r="A186" s="43" t="s">
        <v>615</v>
      </c>
      <c r="B186" s="46" t="s">
        <v>39</v>
      </c>
      <c r="C186" s="44" t="s">
        <v>623</v>
      </c>
      <c r="D186" s="34">
        <v>4666</v>
      </c>
      <c r="E186" s="46" t="s">
        <v>633</v>
      </c>
      <c r="F186" s="35">
        <v>99000</v>
      </c>
      <c r="G186" s="40">
        <v>99000</v>
      </c>
      <c r="H186" s="35">
        <v>0</v>
      </c>
      <c r="I186" s="35">
        <f t="shared" si="4"/>
        <v>99000</v>
      </c>
      <c r="J186" s="36">
        <f t="shared" si="5"/>
        <v>0</v>
      </c>
      <c r="K186" s="48" t="s">
        <v>37</v>
      </c>
      <c r="L186" s="48" t="s">
        <v>37</v>
      </c>
      <c r="M186" s="38">
        <v>41455</v>
      </c>
      <c r="N186" s="37"/>
      <c r="O186" s="35">
        <v>99000</v>
      </c>
      <c r="P186" s="35"/>
      <c r="Q186" s="35"/>
    </row>
    <row r="187" spans="1:17" s="15" customFormat="1" ht="18" customHeight="1" x14ac:dyDescent="0.2">
      <c r="A187" s="43" t="s">
        <v>641</v>
      </c>
      <c r="B187" s="46" t="s">
        <v>39</v>
      </c>
      <c r="C187" s="44" t="s">
        <v>646</v>
      </c>
      <c r="D187" s="34">
        <v>4683</v>
      </c>
      <c r="E187" s="46" t="s">
        <v>652</v>
      </c>
      <c r="F187" s="35">
        <v>32574</v>
      </c>
      <c r="G187" s="40">
        <v>32574</v>
      </c>
      <c r="H187" s="35">
        <v>0</v>
      </c>
      <c r="I187" s="35">
        <f t="shared" si="4"/>
        <v>32574</v>
      </c>
      <c r="J187" s="36">
        <f t="shared" si="5"/>
        <v>0</v>
      </c>
      <c r="K187" s="48" t="s">
        <v>37</v>
      </c>
      <c r="L187" s="48" t="s">
        <v>37</v>
      </c>
      <c r="M187" s="38">
        <v>41524</v>
      </c>
      <c r="N187" s="37"/>
      <c r="O187" s="35">
        <v>32574</v>
      </c>
      <c r="P187" s="35"/>
      <c r="Q187" s="35"/>
    </row>
    <row r="188" spans="1:17" s="15" customFormat="1" ht="26.25" customHeight="1" x14ac:dyDescent="0.2">
      <c r="A188" s="43" t="s">
        <v>741</v>
      </c>
      <c r="B188" s="46" t="s">
        <v>39</v>
      </c>
      <c r="C188" s="44" t="s">
        <v>759</v>
      </c>
      <c r="D188" s="34">
        <v>4779</v>
      </c>
      <c r="E188" s="46" t="s">
        <v>752</v>
      </c>
      <c r="F188" s="35">
        <v>14420</v>
      </c>
      <c r="G188" s="40">
        <v>14420</v>
      </c>
      <c r="H188" s="35">
        <v>0</v>
      </c>
      <c r="I188" s="35">
        <f t="shared" si="4"/>
        <v>14420</v>
      </c>
      <c r="J188" s="36">
        <f t="shared" si="5"/>
        <v>0</v>
      </c>
      <c r="K188" s="48" t="s">
        <v>37</v>
      </c>
      <c r="L188" s="48" t="s">
        <v>42</v>
      </c>
      <c r="M188" s="38">
        <v>41455</v>
      </c>
      <c r="N188" s="37"/>
      <c r="O188" s="35">
        <v>14420</v>
      </c>
      <c r="P188" s="35"/>
      <c r="Q188" s="35"/>
    </row>
    <row r="189" spans="1:17" s="15" customFormat="1" ht="26.25" customHeight="1" x14ac:dyDescent="0.2">
      <c r="A189" s="43" t="s">
        <v>742</v>
      </c>
      <c r="B189" s="46" t="s">
        <v>39</v>
      </c>
      <c r="C189" s="44" t="s">
        <v>760</v>
      </c>
      <c r="D189" s="34">
        <v>4880</v>
      </c>
      <c r="E189" s="46" t="s">
        <v>753</v>
      </c>
      <c r="F189" s="35">
        <f>15000*3</f>
        <v>45000</v>
      </c>
      <c r="G189" s="40">
        <f>15000*3</f>
        <v>45000</v>
      </c>
      <c r="H189" s="35">
        <v>0</v>
      </c>
      <c r="I189" s="35">
        <f t="shared" si="4"/>
        <v>45000</v>
      </c>
      <c r="J189" s="36">
        <f t="shared" si="5"/>
        <v>0</v>
      </c>
      <c r="K189" s="48" t="s">
        <v>37</v>
      </c>
      <c r="L189" s="48" t="s">
        <v>37</v>
      </c>
      <c r="M189" s="38">
        <v>41455</v>
      </c>
      <c r="N189" s="48" t="s">
        <v>64</v>
      </c>
      <c r="O189" s="35">
        <v>15000</v>
      </c>
      <c r="P189" s="35">
        <v>15000</v>
      </c>
      <c r="Q189" s="35">
        <v>15000</v>
      </c>
    </row>
    <row r="190" spans="1:17" s="15" customFormat="1" ht="26.25" customHeight="1" x14ac:dyDescent="0.2">
      <c r="A190" s="43" t="s">
        <v>744</v>
      </c>
      <c r="B190" s="46" t="s">
        <v>39</v>
      </c>
      <c r="C190" s="44" t="s">
        <v>762</v>
      </c>
      <c r="D190" s="34">
        <v>4885</v>
      </c>
      <c r="E190" s="46" t="s">
        <v>756</v>
      </c>
      <c r="F190" s="35">
        <f>6100*3</f>
        <v>18300</v>
      </c>
      <c r="G190" s="40">
        <f>6100*3</f>
        <v>18300</v>
      </c>
      <c r="H190" s="35">
        <v>0</v>
      </c>
      <c r="I190" s="35">
        <f t="shared" si="4"/>
        <v>18300</v>
      </c>
      <c r="J190" s="36">
        <f t="shared" si="5"/>
        <v>0</v>
      </c>
      <c r="K190" s="48" t="s">
        <v>37</v>
      </c>
      <c r="L190" s="48" t="s">
        <v>37</v>
      </c>
      <c r="M190" s="38">
        <v>41547</v>
      </c>
      <c r="N190" s="48" t="s">
        <v>64</v>
      </c>
      <c r="O190" s="35">
        <v>6100</v>
      </c>
      <c r="P190" s="35">
        <v>6100</v>
      </c>
      <c r="Q190" s="35">
        <v>6100</v>
      </c>
    </row>
    <row r="191" spans="1:17" s="15" customFormat="1" ht="26.25" customHeight="1" x14ac:dyDescent="0.2">
      <c r="A191" s="43" t="s">
        <v>746</v>
      </c>
      <c r="B191" s="46" t="s">
        <v>39</v>
      </c>
      <c r="C191" s="44" t="s">
        <v>763</v>
      </c>
      <c r="D191" s="34">
        <v>4910</v>
      </c>
      <c r="E191" s="46" t="s">
        <v>755</v>
      </c>
      <c r="F191" s="35">
        <f>6281+8000+8000</f>
        <v>22281</v>
      </c>
      <c r="G191" s="40">
        <f>6281+8000+8000</f>
        <v>22281</v>
      </c>
      <c r="H191" s="35">
        <v>0</v>
      </c>
      <c r="I191" s="35">
        <f t="shared" si="4"/>
        <v>22281</v>
      </c>
      <c r="J191" s="36">
        <f t="shared" si="5"/>
        <v>0</v>
      </c>
      <c r="K191" s="48" t="s">
        <v>37</v>
      </c>
      <c r="L191" s="48" t="s">
        <v>37</v>
      </c>
      <c r="M191" s="38">
        <v>41578</v>
      </c>
      <c r="N191" s="48" t="s">
        <v>64</v>
      </c>
      <c r="O191" s="35">
        <v>6281</v>
      </c>
      <c r="P191" s="35">
        <v>8000</v>
      </c>
      <c r="Q191" s="35">
        <v>8000</v>
      </c>
    </row>
    <row r="192" spans="1:17" s="15" customFormat="1" ht="26.25" customHeight="1" x14ac:dyDescent="0.2">
      <c r="A192" s="43" t="s">
        <v>765</v>
      </c>
      <c r="B192" s="46" t="s">
        <v>39</v>
      </c>
      <c r="C192" s="44" t="s">
        <v>123</v>
      </c>
      <c r="D192" s="34">
        <v>4874</v>
      </c>
      <c r="E192" s="46" t="s">
        <v>779</v>
      </c>
      <c r="F192" s="35">
        <v>50000</v>
      </c>
      <c r="G192" s="40">
        <v>50000</v>
      </c>
      <c r="H192" s="35">
        <v>0</v>
      </c>
      <c r="I192" s="35">
        <f t="shared" si="4"/>
        <v>50000</v>
      </c>
      <c r="J192" s="36">
        <f t="shared" si="5"/>
        <v>0</v>
      </c>
      <c r="K192" s="48" t="s">
        <v>37</v>
      </c>
      <c r="L192" s="48" t="s">
        <v>37</v>
      </c>
      <c r="M192" s="38">
        <v>41455</v>
      </c>
      <c r="N192" s="37"/>
      <c r="O192" s="35">
        <v>50000</v>
      </c>
      <c r="P192" s="35"/>
      <c r="Q192" s="35"/>
    </row>
    <row r="193" spans="1:17" s="15" customFormat="1" ht="26.25" customHeight="1" x14ac:dyDescent="0.2">
      <c r="A193" s="43" t="s">
        <v>824</v>
      </c>
      <c r="B193" s="46" t="s">
        <v>39</v>
      </c>
      <c r="C193" s="44" t="s">
        <v>847</v>
      </c>
      <c r="D193" s="34">
        <v>4966</v>
      </c>
      <c r="E193" s="46" t="s">
        <v>862</v>
      </c>
      <c r="F193" s="35">
        <f>11071*3</f>
        <v>33213</v>
      </c>
      <c r="G193" s="40">
        <f>11071*3</f>
        <v>33213</v>
      </c>
      <c r="H193" s="35">
        <v>0</v>
      </c>
      <c r="I193" s="35">
        <f t="shared" si="4"/>
        <v>33213</v>
      </c>
      <c r="J193" s="36">
        <f t="shared" si="5"/>
        <v>0</v>
      </c>
      <c r="K193" s="48" t="s">
        <v>37</v>
      </c>
      <c r="L193" s="48" t="s">
        <v>37</v>
      </c>
      <c r="M193" s="38">
        <v>41578</v>
      </c>
      <c r="N193" s="48" t="s">
        <v>64</v>
      </c>
      <c r="O193" s="35">
        <v>11071</v>
      </c>
      <c r="P193" s="35">
        <v>11071</v>
      </c>
      <c r="Q193" s="35">
        <v>11071</v>
      </c>
    </row>
    <row r="194" spans="1:17" s="15" customFormat="1" ht="26.25" customHeight="1" x14ac:dyDescent="0.2">
      <c r="A194" s="43" t="s">
        <v>872</v>
      </c>
      <c r="B194" s="46" t="s">
        <v>39</v>
      </c>
      <c r="C194" s="44" t="s">
        <v>100</v>
      </c>
      <c r="D194" s="34">
        <v>4816</v>
      </c>
      <c r="E194" s="46" t="s">
        <v>101</v>
      </c>
      <c r="F194" s="35">
        <v>13000</v>
      </c>
      <c r="G194" s="40">
        <v>25000</v>
      </c>
      <c r="H194" s="35">
        <f>25600+13000</f>
        <v>38600</v>
      </c>
      <c r="I194" s="35">
        <f t="shared" ref="I194:I257" si="6">G194+H194</f>
        <v>63600</v>
      </c>
      <c r="J194" s="36">
        <f t="shared" ref="J194:J257" si="7">IF(G194=0,100%,(I194-G194)/G194)</f>
        <v>1.544</v>
      </c>
      <c r="K194" s="48" t="s">
        <v>37</v>
      </c>
      <c r="L194" s="48" t="s">
        <v>37</v>
      </c>
      <c r="M194" s="38">
        <v>41455</v>
      </c>
      <c r="N194" s="48" t="s">
        <v>36</v>
      </c>
      <c r="O194" s="35">
        <v>13000</v>
      </c>
      <c r="P194" s="35"/>
      <c r="Q194" s="35"/>
    </row>
    <row r="195" spans="1:17" s="15" customFormat="1" ht="26.25" customHeight="1" x14ac:dyDescent="0.2">
      <c r="A195" s="43" t="s">
        <v>873</v>
      </c>
      <c r="B195" s="46" t="s">
        <v>39</v>
      </c>
      <c r="C195" s="44" t="s">
        <v>880</v>
      </c>
      <c r="D195" s="34">
        <v>5030</v>
      </c>
      <c r="E195" s="46" t="s">
        <v>876</v>
      </c>
      <c r="F195" s="35">
        <f>24960*3</f>
        <v>74880</v>
      </c>
      <c r="G195" s="40">
        <f>24960*3</f>
        <v>74880</v>
      </c>
      <c r="H195" s="35">
        <v>0</v>
      </c>
      <c r="I195" s="35">
        <f t="shared" si="6"/>
        <v>74880</v>
      </c>
      <c r="J195" s="36">
        <f t="shared" si="7"/>
        <v>0</v>
      </c>
      <c r="K195" s="48" t="s">
        <v>37</v>
      </c>
      <c r="L195" s="48" t="s">
        <v>37</v>
      </c>
      <c r="M195" s="38">
        <v>41572</v>
      </c>
      <c r="N195" s="48" t="s">
        <v>64</v>
      </c>
      <c r="O195" s="35">
        <v>24960</v>
      </c>
      <c r="P195" s="35">
        <v>24960</v>
      </c>
      <c r="Q195" s="35">
        <v>24960</v>
      </c>
    </row>
    <row r="196" spans="1:17" s="15" customFormat="1" ht="26.25" customHeight="1" x14ac:dyDescent="0.2">
      <c r="A196" s="43" t="s">
        <v>874</v>
      </c>
      <c r="B196" s="46" t="s">
        <v>39</v>
      </c>
      <c r="C196" s="44" t="s">
        <v>881</v>
      </c>
      <c r="D196" s="34">
        <v>5031</v>
      </c>
      <c r="E196" s="46" t="s">
        <v>876</v>
      </c>
      <c r="F196" s="35">
        <v>23688</v>
      </c>
      <c r="G196" s="40">
        <v>23688</v>
      </c>
      <c r="H196" s="35">
        <v>0</v>
      </c>
      <c r="I196" s="35">
        <f t="shared" si="6"/>
        <v>23688</v>
      </c>
      <c r="J196" s="36">
        <f t="shared" si="7"/>
        <v>0</v>
      </c>
      <c r="K196" s="48" t="s">
        <v>37</v>
      </c>
      <c r="L196" s="48" t="s">
        <v>37</v>
      </c>
      <c r="M196" s="38">
        <v>41572</v>
      </c>
      <c r="N196" s="37"/>
      <c r="O196" s="35">
        <v>23688</v>
      </c>
      <c r="P196" s="35"/>
      <c r="Q196" s="35"/>
    </row>
    <row r="197" spans="1:17" s="15" customFormat="1" ht="26.25" customHeight="1" x14ac:dyDescent="0.2">
      <c r="A197" s="43" t="s">
        <v>888</v>
      </c>
      <c r="B197" s="46" t="s">
        <v>39</v>
      </c>
      <c r="C197" s="44" t="s">
        <v>230</v>
      </c>
      <c r="D197" s="34">
        <v>4806</v>
      </c>
      <c r="E197" s="46" t="s">
        <v>883</v>
      </c>
      <c r="F197" s="35">
        <v>35273</v>
      </c>
      <c r="G197" s="40">
        <v>35273</v>
      </c>
      <c r="H197" s="35">
        <v>0</v>
      </c>
      <c r="I197" s="35">
        <f t="shared" si="6"/>
        <v>35273</v>
      </c>
      <c r="J197" s="36">
        <f t="shared" si="7"/>
        <v>0</v>
      </c>
      <c r="K197" s="48" t="s">
        <v>37</v>
      </c>
      <c r="L197" s="48" t="s">
        <v>37</v>
      </c>
      <c r="M197" s="38">
        <v>41614</v>
      </c>
      <c r="N197" s="37"/>
      <c r="O197" s="35">
        <v>35273</v>
      </c>
      <c r="P197" s="35"/>
      <c r="Q197" s="35"/>
    </row>
    <row r="198" spans="1:17" s="15" customFormat="1" ht="26.25" customHeight="1" x14ac:dyDescent="0.2">
      <c r="A198" s="43" t="s">
        <v>901</v>
      </c>
      <c r="B198" s="46" t="s">
        <v>39</v>
      </c>
      <c r="C198" s="44" t="s">
        <v>908</v>
      </c>
      <c r="D198" s="34">
        <v>5110</v>
      </c>
      <c r="E198" s="46" t="s">
        <v>918</v>
      </c>
      <c r="F198" s="35">
        <f>47819*3</f>
        <v>143457</v>
      </c>
      <c r="G198" s="40">
        <f>47819*3</f>
        <v>143457</v>
      </c>
      <c r="H198" s="35">
        <v>0</v>
      </c>
      <c r="I198" s="35">
        <f t="shared" si="6"/>
        <v>143457</v>
      </c>
      <c r="J198" s="36">
        <f t="shared" si="7"/>
        <v>0</v>
      </c>
      <c r="K198" s="48" t="s">
        <v>37</v>
      </c>
      <c r="L198" s="48" t="s">
        <v>37</v>
      </c>
      <c r="M198" s="38">
        <v>41455</v>
      </c>
      <c r="N198" s="48" t="s">
        <v>64</v>
      </c>
      <c r="O198" s="35">
        <v>47819</v>
      </c>
      <c r="P198" s="35">
        <v>47819</v>
      </c>
      <c r="Q198" s="35">
        <v>47819</v>
      </c>
    </row>
    <row r="199" spans="1:17" s="15" customFormat="1" ht="26.25" customHeight="1" x14ac:dyDescent="0.2">
      <c r="A199" s="43" t="s">
        <v>919</v>
      </c>
      <c r="B199" s="46" t="s">
        <v>39</v>
      </c>
      <c r="C199" s="44" t="s">
        <v>230</v>
      </c>
      <c r="D199" s="34">
        <v>5157</v>
      </c>
      <c r="E199" s="46" t="s">
        <v>929</v>
      </c>
      <c r="F199" s="35">
        <v>22500</v>
      </c>
      <c r="G199" s="40">
        <v>22500</v>
      </c>
      <c r="H199" s="35">
        <v>0</v>
      </c>
      <c r="I199" s="35">
        <f t="shared" si="6"/>
        <v>22500</v>
      </c>
      <c r="J199" s="36">
        <f t="shared" si="7"/>
        <v>0</v>
      </c>
      <c r="K199" s="48" t="s">
        <v>37</v>
      </c>
      <c r="L199" s="48" t="s">
        <v>42</v>
      </c>
      <c r="M199" s="38">
        <v>41455</v>
      </c>
      <c r="N199" s="37"/>
      <c r="O199" s="35">
        <v>22500</v>
      </c>
      <c r="P199" s="35"/>
      <c r="Q199" s="35"/>
    </row>
    <row r="200" spans="1:17" s="15" customFormat="1" ht="26.25" customHeight="1" x14ac:dyDescent="0.2">
      <c r="A200" s="43" t="s">
        <v>923</v>
      </c>
      <c r="B200" s="46" t="s">
        <v>39</v>
      </c>
      <c r="C200" s="44" t="s">
        <v>646</v>
      </c>
      <c r="D200" s="34">
        <v>5131</v>
      </c>
      <c r="E200" s="46" t="s">
        <v>934</v>
      </c>
      <c r="F200" s="35">
        <f>16332*3</f>
        <v>48996</v>
      </c>
      <c r="G200" s="40">
        <f>16332*3</f>
        <v>48996</v>
      </c>
      <c r="H200" s="35">
        <v>0</v>
      </c>
      <c r="I200" s="35">
        <f t="shared" si="6"/>
        <v>48996</v>
      </c>
      <c r="J200" s="36">
        <f t="shared" si="7"/>
        <v>0</v>
      </c>
      <c r="K200" s="48" t="s">
        <v>37</v>
      </c>
      <c r="L200" s="48" t="s">
        <v>37</v>
      </c>
      <c r="M200" s="38">
        <v>41608</v>
      </c>
      <c r="N200" s="48" t="s">
        <v>64</v>
      </c>
      <c r="O200" s="35">
        <v>16332</v>
      </c>
      <c r="P200" s="35">
        <v>16332</v>
      </c>
      <c r="Q200" s="35">
        <v>16332</v>
      </c>
    </row>
    <row r="201" spans="1:17" s="15" customFormat="1" ht="26.25" customHeight="1" x14ac:dyDescent="0.2">
      <c r="A201" s="43" t="s">
        <v>941</v>
      </c>
      <c r="B201" s="46" t="s">
        <v>39</v>
      </c>
      <c r="C201" s="44" t="s">
        <v>948</v>
      </c>
      <c r="D201" s="34">
        <v>5153</v>
      </c>
      <c r="E201" s="46" t="s">
        <v>954</v>
      </c>
      <c r="F201" s="35">
        <v>69600</v>
      </c>
      <c r="G201" s="40">
        <v>69600</v>
      </c>
      <c r="H201" s="35">
        <v>0</v>
      </c>
      <c r="I201" s="35">
        <f t="shared" si="6"/>
        <v>69600</v>
      </c>
      <c r="J201" s="36">
        <f t="shared" si="7"/>
        <v>0</v>
      </c>
      <c r="K201" s="48" t="s">
        <v>37</v>
      </c>
      <c r="L201" s="48" t="s">
        <v>42</v>
      </c>
      <c r="M201" s="38">
        <v>41455</v>
      </c>
      <c r="N201" s="37"/>
      <c r="O201" s="35">
        <v>69600</v>
      </c>
      <c r="P201" s="35"/>
      <c r="Q201" s="35"/>
    </row>
    <row r="202" spans="1:17" s="15" customFormat="1" ht="26.25" customHeight="1" x14ac:dyDescent="0.2">
      <c r="A202" s="43" t="s">
        <v>985</v>
      </c>
      <c r="B202" s="46" t="s">
        <v>39</v>
      </c>
      <c r="C202" s="44" t="s">
        <v>988</v>
      </c>
      <c r="D202" s="34">
        <v>4929</v>
      </c>
      <c r="E202" s="46" t="s">
        <v>991</v>
      </c>
      <c r="F202" s="35">
        <f>8566*3</f>
        <v>25698</v>
      </c>
      <c r="G202" s="40">
        <f>8566*3</f>
        <v>25698</v>
      </c>
      <c r="H202" s="35">
        <v>0</v>
      </c>
      <c r="I202" s="35">
        <f t="shared" si="6"/>
        <v>25698</v>
      </c>
      <c r="J202" s="36">
        <f t="shared" si="7"/>
        <v>0</v>
      </c>
      <c r="K202" s="48" t="s">
        <v>37</v>
      </c>
      <c r="L202" s="48" t="s">
        <v>37</v>
      </c>
      <c r="M202" s="38">
        <v>41638</v>
      </c>
      <c r="N202" s="48" t="s">
        <v>64</v>
      </c>
      <c r="O202" s="35">
        <v>8566</v>
      </c>
      <c r="P202" s="35">
        <v>8566</v>
      </c>
      <c r="Q202" s="35">
        <v>8566</v>
      </c>
    </row>
    <row r="203" spans="1:17" s="15" customFormat="1" ht="26.25" customHeight="1" x14ac:dyDescent="0.2">
      <c r="A203" s="43" t="s">
        <v>994</v>
      </c>
      <c r="B203" s="46" t="s">
        <v>39</v>
      </c>
      <c r="C203" s="44" t="s">
        <v>525</v>
      </c>
      <c r="D203" s="34">
        <v>5182</v>
      </c>
      <c r="E203" s="46" t="s">
        <v>1002</v>
      </c>
      <c r="F203" s="35">
        <v>3000</v>
      </c>
      <c r="G203" s="40">
        <v>51984</v>
      </c>
      <c r="H203" s="35">
        <v>3000</v>
      </c>
      <c r="I203" s="35">
        <f t="shared" si="6"/>
        <v>54984</v>
      </c>
      <c r="J203" s="36">
        <f t="shared" si="7"/>
        <v>5.7710064635272389E-2</v>
      </c>
      <c r="K203" s="48" t="s">
        <v>37</v>
      </c>
      <c r="L203" s="48" t="s">
        <v>37</v>
      </c>
      <c r="M203" s="38">
        <v>41455</v>
      </c>
      <c r="N203" s="48" t="s">
        <v>36</v>
      </c>
      <c r="O203" s="35">
        <v>3000</v>
      </c>
      <c r="P203" s="35"/>
      <c r="Q203" s="35"/>
    </row>
    <row r="204" spans="1:17" s="15" customFormat="1" ht="26.25" customHeight="1" x14ac:dyDescent="0.2">
      <c r="A204" s="43" t="s">
        <v>1061</v>
      </c>
      <c r="B204" s="46" t="s">
        <v>39</v>
      </c>
      <c r="C204" s="44" t="s">
        <v>230</v>
      </c>
      <c r="D204" s="34">
        <v>5345</v>
      </c>
      <c r="E204" s="46" t="s">
        <v>1074</v>
      </c>
      <c r="F204" s="35">
        <f>19147*3</f>
        <v>57441</v>
      </c>
      <c r="G204" s="40">
        <f>19147*3</f>
        <v>57441</v>
      </c>
      <c r="H204" s="35">
        <v>0</v>
      </c>
      <c r="I204" s="35">
        <f t="shared" si="6"/>
        <v>57441</v>
      </c>
      <c r="J204" s="36">
        <f t="shared" si="7"/>
        <v>0</v>
      </c>
      <c r="K204" s="48" t="s">
        <v>37</v>
      </c>
      <c r="L204" s="48" t="s">
        <v>37</v>
      </c>
      <c r="M204" s="38">
        <v>41698</v>
      </c>
      <c r="N204" s="48" t="s">
        <v>64</v>
      </c>
      <c r="O204" s="35">
        <v>19147</v>
      </c>
      <c r="P204" s="35">
        <v>19147</v>
      </c>
      <c r="Q204" s="49">
        <v>19147</v>
      </c>
    </row>
    <row r="205" spans="1:17" s="15" customFormat="1" ht="26.25" customHeight="1" x14ac:dyDescent="0.2">
      <c r="A205" s="43" t="s">
        <v>1062</v>
      </c>
      <c r="B205" s="46" t="s">
        <v>39</v>
      </c>
      <c r="C205" s="44" t="s">
        <v>230</v>
      </c>
      <c r="D205" s="34">
        <v>5346</v>
      </c>
      <c r="E205" s="46" t="s">
        <v>1075</v>
      </c>
      <c r="F205" s="35">
        <f>18785*3</f>
        <v>56355</v>
      </c>
      <c r="G205" s="40">
        <f>18785*3</f>
        <v>56355</v>
      </c>
      <c r="H205" s="35">
        <v>0</v>
      </c>
      <c r="I205" s="35">
        <f t="shared" si="6"/>
        <v>56355</v>
      </c>
      <c r="J205" s="36">
        <f t="shared" si="7"/>
        <v>0</v>
      </c>
      <c r="K205" s="48" t="s">
        <v>37</v>
      </c>
      <c r="L205" s="48" t="s">
        <v>37</v>
      </c>
      <c r="M205" s="38">
        <v>41698</v>
      </c>
      <c r="N205" s="48" t="s">
        <v>64</v>
      </c>
      <c r="O205" s="35">
        <v>18785</v>
      </c>
      <c r="P205" s="35">
        <v>18785</v>
      </c>
      <c r="Q205" s="35">
        <v>18785</v>
      </c>
    </row>
    <row r="206" spans="1:17" s="15" customFormat="1" ht="26.25" customHeight="1" x14ac:dyDescent="0.2">
      <c r="A206" s="43" t="s">
        <v>1064</v>
      </c>
      <c r="B206" s="46" t="s">
        <v>39</v>
      </c>
      <c r="C206" s="44" t="s">
        <v>1070</v>
      </c>
      <c r="D206" s="34">
        <v>5363</v>
      </c>
      <c r="E206" s="46" t="s">
        <v>1077</v>
      </c>
      <c r="F206" s="35">
        <v>18123</v>
      </c>
      <c r="G206" s="40">
        <v>18123</v>
      </c>
      <c r="H206" s="35">
        <v>0</v>
      </c>
      <c r="I206" s="35">
        <f t="shared" si="6"/>
        <v>18123</v>
      </c>
      <c r="J206" s="36">
        <f t="shared" si="7"/>
        <v>0</v>
      </c>
      <c r="K206" s="48" t="s">
        <v>37</v>
      </c>
      <c r="L206" s="48" t="s">
        <v>37</v>
      </c>
      <c r="M206" s="38">
        <v>41455</v>
      </c>
      <c r="N206" s="48"/>
      <c r="O206" s="35">
        <v>18123</v>
      </c>
      <c r="P206" s="35"/>
      <c r="Q206" s="35"/>
    </row>
    <row r="207" spans="1:17" s="15" customFormat="1" ht="26.25" customHeight="1" x14ac:dyDescent="0.2">
      <c r="A207" s="43" t="s">
        <v>1106</v>
      </c>
      <c r="B207" s="46" t="s">
        <v>39</v>
      </c>
      <c r="C207" s="44" t="s">
        <v>230</v>
      </c>
      <c r="D207" s="34">
        <v>5497</v>
      </c>
      <c r="E207" s="46" t="s">
        <v>1121</v>
      </c>
      <c r="F207" s="40">
        <f>17864+18400+19000</f>
        <v>55264</v>
      </c>
      <c r="G207" s="40">
        <f>17864+18400+19000</f>
        <v>55264</v>
      </c>
      <c r="H207" s="35">
        <v>0</v>
      </c>
      <c r="I207" s="35">
        <f t="shared" si="6"/>
        <v>55264</v>
      </c>
      <c r="J207" s="36">
        <f t="shared" si="7"/>
        <v>0</v>
      </c>
      <c r="K207" s="48" t="s">
        <v>37</v>
      </c>
      <c r="L207" s="48" t="s">
        <v>37</v>
      </c>
      <c r="M207" s="38">
        <v>41488</v>
      </c>
      <c r="N207" s="48" t="s">
        <v>64</v>
      </c>
      <c r="O207" s="35">
        <v>17864</v>
      </c>
      <c r="P207" s="35">
        <v>18400</v>
      </c>
      <c r="Q207" s="35">
        <v>19000</v>
      </c>
    </row>
    <row r="208" spans="1:17" s="15" customFormat="1" ht="26.25" customHeight="1" x14ac:dyDescent="0.2">
      <c r="A208" s="43" t="s">
        <v>1125</v>
      </c>
      <c r="B208" s="46" t="s">
        <v>39</v>
      </c>
      <c r="C208" s="44" t="s">
        <v>1129</v>
      </c>
      <c r="D208" s="34">
        <v>5390</v>
      </c>
      <c r="E208" s="46" t="s">
        <v>1130</v>
      </c>
      <c r="F208" s="35">
        <f>61300*3</f>
        <v>183900</v>
      </c>
      <c r="G208" s="40">
        <f>61300*3</f>
        <v>183900</v>
      </c>
      <c r="H208" s="35">
        <v>0</v>
      </c>
      <c r="I208" s="35">
        <f t="shared" si="6"/>
        <v>183900</v>
      </c>
      <c r="J208" s="36">
        <f t="shared" si="7"/>
        <v>0</v>
      </c>
      <c r="K208" s="48" t="s">
        <v>37</v>
      </c>
      <c r="L208" s="48" t="s">
        <v>37</v>
      </c>
      <c r="M208" s="38">
        <v>41704</v>
      </c>
      <c r="N208" s="48" t="s">
        <v>64</v>
      </c>
      <c r="O208" s="35">
        <v>61300</v>
      </c>
      <c r="P208" s="35">
        <v>61300</v>
      </c>
      <c r="Q208" s="35">
        <v>61300</v>
      </c>
    </row>
    <row r="209" spans="1:17" s="15" customFormat="1" ht="18" customHeight="1" x14ac:dyDescent="0.2">
      <c r="A209" s="43" t="s">
        <v>1134</v>
      </c>
      <c r="B209" s="46" t="s">
        <v>39</v>
      </c>
      <c r="C209" s="44" t="s">
        <v>561</v>
      </c>
      <c r="D209" s="34">
        <v>5592</v>
      </c>
      <c r="E209" s="46" t="s">
        <v>1141</v>
      </c>
      <c r="F209" s="35">
        <f>6000+6000+6000</f>
        <v>18000</v>
      </c>
      <c r="G209" s="40">
        <v>10000</v>
      </c>
      <c r="H209" s="35">
        <f>18000</f>
        <v>18000</v>
      </c>
      <c r="I209" s="35">
        <f t="shared" si="6"/>
        <v>28000</v>
      </c>
      <c r="J209" s="36">
        <f t="shared" si="7"/>
        <v>1.8</v>
      </c>
      <c r="K209" s="48" t="s">
        <v>37</v>
      </c>
      <c r="L209" s="48" t="s">
        <v>37</v>
      </c>
      <c r="M209" s="38">
        <v>41455</v>
      </c>
      <c r="N209" s="48" t="s">
        <v>64</v>
      </c>
      <c r="O209" s="35">
        <v>6000</v>
      </c>
      <c r="P209" s="35">
        <v>6000</v>
      </c>
      <c r="Q209" s="35">
        <v>6000</v>
      </c>
    </row>
    <row r="210" spans="1:17" s="15" customFormat="1" ht="26.25" customHeight="1" x14ac:dyDescent="0.2">
      <c r="A210" s="43" t="s">
        <v>1135</v>
      </c>
      <c r="B210" s="46" t="s">
        <v>39</v>
      </c>
      <c r="C210" s="44" t="s">
        <v>230</v>
      </c>
      <c r="D210" s="34">
        <v>5606</v>
      </c>
      <c r="E210" s="46" t="s">
        <v>1142</v>
      </c>
      <c r="F210" s="35">
        <f>49790*3</f>
        <v>149370</v>
      </c>
      <c r="G210" s="40">
        <f>49790*3</f>
        <v>149370</v>
      </c>
      <c r="H210" s="35">
        <v>0</v>
      </c>
      <c r="I210" s="35">
        <f t="shared" si="6"/>
        <v>149370</v>
      </c>
      <c r="J210" s="36">
        <f t="shared" si="7"/>
        <v>0</v>
      </c>
      <c r="K210" s="48" t="s">
        <v>37</v>
      </c>
      <c r="L210" s="48" t="s">
        <v>37</v>
      </c>
      <c r="M210" s="38">
        <v>41790</v>
      </c>
      <c r="N210" s="48" t="s">
        <v>64</v>
      </c>
      <c r="O210" s="35">
        <v>49790</v>
      </c>
      <c r="P210" s="35">
        <v>49790</v>
      </c>
      <c r="Q210" s="35">
        <v>49790</v>
      </c>
    </row>
    <row r="211" spans="1:17" s="15" customFormat="1" ht="26.25" customHeight="1" x14ac:dyDescent="0.2">
      <c r="A211" s="43" t="s">
        <v>1148</v>
      </c>
      <c r="B211" s="46" t="s">
        <v>39</v>
      </c>
      <c r="C211" s="44" t="s">
        <v>230</v>
      </c>
      <c r="D211" s="34">
        <v>5605</v>
      </c>
      <c r="E211" s="46" t="s">
        <v>1156</v>
      </c>
      <c r="F211" s="35">
        <f>59833*3</f>
        <v>179499</v>
      </c>
      <c r="G211" s="40">
        <f>59833*3</f>
        <v>179499</v>
      </c>
      <c r="H211" s="35">
        <v>0</v>
      </c>
      <c r="I211" s="35">
        <f t="shared" si="6"/>
        <v>179499</v>
      </c>
      <c r="J211" s="36">
        <f t="shared" si="7"/>
        <v>0</v>
      </c>
      <c r="K211" s="48" t="s">
        <v>37</v>
      </c>
      <c r="L211" s="48" t="s">
        <v>37</v>
      </c>
      <c r="M211" s="38">
        <v>41790</v>
      </c>
      <c r="N211" s="48" t="s">
        <v>64</v>
      </c>
      <c r="O211" s="35">
        <v>59833</v>
      </c>
      <c r="P211" s="35">
        <v>59833</v>
      </c>
      <c r="Q211" s="35">
        <v>59833</v>
      </c>
    </row>
    <row r="212" spans="1:17" s="15" customFormat="1" ht="18" customHeight="1" x14ac:dyDescent="0.2">
      <c r="A212" s="43" t="s">
        <v>1174</v>
      </c>
      <c r="B212" s="46" t="s">
        <v>39</v>
      </c>
      <c r="C212" s="44" t="s">
        <v>230</v>
      </c>
      <c r="D212" s="34">
        <v>5689</v>
      </c>
      <c r="E212" s="46" t="s">
        <v>1172</v>
      </c>
      <c r="F212" s="35">
        <f>8402+8654+8914</f>
        <v>25970</v>
      </c>
      <c r="G212" s="40">
        <f>8402+8654+8914</f>
        <v>25970</v>
      </c>
      <c r="H212" s="35">
        <v>0</v>
      </c>
      <c r="I212" s="35">
        <f t="shared" si="6"/>
        <v>25970</v>
      </c>
      <c r="J212" s="36">
        <f t="shared" si="7"/>
        <v>0</v>
      </c>
      <c r="K212" s="48" t="s">
        <v>37</v>
      </c>
      <c r="L212" s="48" t="s">
        <v>37</v>
      </c>
      <c r="M212" s="38">
        <v>41784</v>
      </c>
      <c r="N212" s="48" t="s">
        <v>64</v>
      </c>
      <c r="O212" s="35">
        <v>8402</v>
      </c>
      <c r="P212" s="35">
        <v>8654</v>
      </c>
      <c r="Q212" s="35">
        <v>8914</v>
      </c>
    </row>
    <row r="213" spans="1:17" s="15" customFormat="1" ht="38.25" customHeight="1" x14ac:dyDescent="0.2">
      <c r="A213" s="43" t="s">
        <v>1179</v>
      </c>
      <c r="B213" s="46" t="s">
        <v>39</v>
      </c>
      <c r="C213" s="44" t="s">
        <v>618</v>
      </c>
      <c r="D213" s="47" t="s">
        <v>1182</v>
      </c>
      <c r="E213" s="46" t="s">
        <v>1184</v>
      </c>
      <c r="F213" s="35">
        <v>49000</v>
      </c>
      <c r="G213" s="40">
        <v>50000</v>
      </c>
      <c r="H213" s="35">
        <v>49000</v>
      </c>
      <c r="I213" s="35">
        <f t="shared" si="6"/>
        <v>99000</v>
      </c>
      <c r="J213" s="36">
        <f t="shared" si="7"/>
        <v>0.98</v>
      </c>
      <c r="K213" s="48" t="s">
        <v>37</v>
      </c>
      <c r="L213" s="48" t="s">
        <v>37</v>
      </c>
      <c r="M213" s="38">
        <v>41455</v>
      </c>
      <c r="N213" s="48" t="s">
        <v>36</v>
      </c>
      <c r="O213" s="35">
        <v>49000</v>
      </c>
      <c r="P213" s="35"/>
      <c r="Q213" s="35"/>
    </row>
    <row r="214" spans="1:17" s="15" customFormat="1" ht="26.25" customHeight="1" x14ac:dyDescent="0.2">
      <c r="A214" s="43" t="s">
        <v>1247</v>
      </c>
      <c r="B214" s="46" t="s">
        <v>39</v>
      </c>
      <c r="C214" s="44" t="s">
        <v>230</v>
      </c>
      <c r="D214" s="47">
        <v>5691</v>
      </c>
      <c r="E214" s="46" t="s">
        <v>1238</v>
      </c>
      <c r="F214" s="35">
        <v>28050</v>
      </c>
      <c r="G214" s="40">
        <v>28050</v>
      </c>
      <c r="H214" s="35">
        <v>0</v>
      </c>
      <c r="I214" s="35">
        <f t="shared" si="6"/>
        <v>28050</v>
      </c>
      <c r="J214" s="36">
        <f t="shared" si="7"/>
        <v>0</v>
      </c>
      <c r="K214" s="48" t="s">
        <v>37</v>
      </c>
      <c r="L214" s="48" t="s">
        <v>37</v>
      </c>
      <c r="M214" s="38">
        <v>41804</v>
      </c>
      <c r="N214" s="48"/>
      <c r="O214" s="35">
        <v>28050</v>
      </c>
      <c r="P214" s="35"/>
      <c r="Q214" s="35"/>
    </row>
    <row r="215" spans="1:17" s="15" customFormat="1" ht="38.25" customHeight="1" x14ac:dyDescent="0.2">
      <c r="A215" s="43" t="s">
        <v>1253</v>
      </c>
      <c r="B215" s="46" t="s">
        <v>39</v>
      </c>
      <c r="C215" s="44" t="s">
        <v>1233</v>
      </c>
      <c r="D215" s="47">
        <v>5824</v>
      </c>
      <c r="E215" s="46" t="s">
        <v>1245</v>
      </c>
      <c r="F215" s="35">
        <v>12189</v>
      </c>
      <c r="G215" s="40">
        <v>12189</v>
      </c>
      <c r="H215" s="35">
        <v>0</v>
      </c>
      <c r="I215" s="35">
        <f t="shared" si="6"/>
        <v>12189</v>
      </c>
      <c r="J215" s="36">
        <f t="shared" si="7"/>
        <v>0</v>
      </c>
      <c r="K215" s="48" t="s">
        <v>37</v>
      </c>
      <c r="L215" s="48" t="s">
        <v>37</v>
      </c>
      <c r="M215" s="38">
        <v>41455</v>
      </c>
      <c r="N215" s="48"/>
      <c r="O215" s="35">
        <v>12189</v>
      </c>
      <c r="P215" s="35"/>
      <c r="Q215" s="35"/>
    </row>
    <row r="216" spans="1:17" s="15" customFormat="1" ht="38.25" customHeight="1" x14ac:dyDescent="0.2">
      <c r="A216" s="43" t="s">
        <v>1263</v>
      </c>
      <c r="B216" s="46" t="s">
        <v>39</v>
      </c>
      <c r="C216" s="44" t="s">
        <v>617</v>
      </c>
      <c r="D216" s="47">
        <v>5545</v>
      </c>
      <c r="E216" s="46" t="s">
        <v>1277</v>
      </c>
      <c r="F216" s="35">
        <v>49920</v>
      </c>
      <c r="G216" s="40">
        <v>49920</v>
      </c>
      <c r="H216" s="35">
        <v>0</v>
      </c>
      <c r="I216" s="35">
        <f t="shared" si="6"/>
        <v>49920</v>
      </c>
      <c r="J216" s="36">
        <f t="shared" si="7"/>
        <v>0</v>
      </c>
      <c r="K216" s="48" t="s">
        <v>37</v>
      </c>
      <c r="L216" s="48" t="s">
        <v>37</v>
      </c>
      <c r="M216" s="38">
        <v>41455</v>
      </c>
      <c r="N216" s="48"/>
      <c r="O216" s="35">
        <v>49920</v>
      </c>
      <c r="P216" s="35"/>
      <c r="Q216" s="35"/>
    </row>
    <row r="217" spans="1:17" s="15" customFormat="1" ht="26.25" customHeight="1" x14ac:dyDescent="0.2">
      <c r="A217" s="43" t="s">
        <v>1279</v>
      </c>
      <c r="B217" s="46" t="s">
        <v>39</v>
      </c>
      <c r="C217" s="44" t="s">
        <v>623</v>
      </c>
      <c r="D217" s="47">
        <v>5572</v>
      </c>
      <c r="E217" s="46" t="s">
        <v>1281</v>
      </c>
      <c r="F217" s="35">
        <v>75150</v>
      </c>
      <c r="G217" s="40">
        <v>75150</v>
      </c>
      <c r="H217" s="35">
        <v>0</v>
      </c>
      <c r="I217" s="35">
        <f t="shared" si="6"/>
        <v>75150</v>
      </c>
      <c r="J217" s="36">
        <f t="shared" si="7"/>
        <v>0</v>
      </c>
      <c r="K217" s="48" t="s">
        <v>37</v>
      </c>
      <c r="L217" s="48" t="s">
        <v>37</v>
      </c>
      <c r="M217" s="38">
        <v>41455</v>
      </c>
      <c r="N217" s="48"/>
      <c r="O217" s="35">
        <v>75150</v>
      </c>
      <c r="P217" s="35"/>
      <c r="Q217" s="35"/>
    </row>
    <row r="218" spans="1:17" s="15" customFormat="1" ht="26.25" customHeight="1" x14ac:dyDescent="0.2">
      <c r="A218" s="43" t="s">
        <v>1282</v>
      </c>
      <c r="B218" s="46" t="s">
        <v>39</v>
      </c>
      <c r="C218" s="44" t="s">
        <v>1284</v>
      </c>
      <c r="D218" s="47">
        <v>5974</v>
      </c>
      <c r="E218" s="46" t="s">
        <v>1286</v>
      </c>
      <c r="F218" s="35">
        <v>98000</v>
      </c>
      <c r="G218" s="40">
        <v>98000</v>
      </c>
      <c r="H218" s="35">
        <v>0</v>
      </c>
      <c r="I218" s="35">
        <f t="shared" si="6"/>
        <v>98000</v>
      </c>
      <c r="J218" s="36">
        <f t="shared" si="7"/>
        <v>0</v>
      </c>
      <c r="K218" s="48" t="s">
        <v>37</v>
      </c>
      <c r="L218" s="48" t="s">
        <v>42</v>
      </c>
      <c r="M218" s="38">
        <v>41455</v>
      </c>
      <c r="N218" s="48"/>
      <c r="O218" s="35">
        <v>98000</v>
      </c>
      <c r="P218" s="35"/>
      <c r="Q218" s="35"/>
    </row>
    <row r="219" spans="1:17" s="15" customFormat="1" ht="38.25" customHeight="1" x14ac:dyDescent="0.2">
      <c r="A219" s="43" t="s">
        <v>1283</v>
      </c>
      <c r="B219" s="46" t="s">
        <v>39</v>
      </c>
      <c r="C219" s="44" t="s">
        <v>1285</v>
      </c>
      <c r="D219" s="47">
        <v>5962</v>
      </c>
      <c r="E219" s="46" t="s">
        <v>1287</v>
      </c>
      <c r="F219" s="35">
        <v>99299</v>
      </c>
      <c r="G219" s="40">
        <v>99299</v>
      </c>
      <c r="H219" s="35">
        <v>0</v>
      </c>
      <c r="I219" s="35">
        <f t="shared" si="6"/>
        <v>99299</v>
      </c>
      <c r="J219" s="36">
        <f t="shared" si="7"/>
        <v>0</v>
      </c>
      <c r="K219" s="48" t="s">
        <v>37</v>
      </c>
      <c r="L219" s="48" t="s">
        <v>42</v>
      </c>
      <c r="M219" s="38">
        <v>41455</v>
      </c>
      <c r="N219" s="48"/>
      <c r="O219" s="35">
        <v>99299</v>
      </c>
      <c r="P219" s="35"/>
      <c r="Q219" s="35"/>
    </row>
    <row r="220" spans="1:17" s="15" customFormat="1" ht="38.25" customHeight="1" x14ac:dyDescent="0.2">
      <c r="A220" s="43" t="s">
        <v>1318</v>
      </c>
      <c r="B220" s="46" t="s">
        <v>39</v>
      </c>
      <c r="C220" s="44" t="s">
        <v>646</v>
      </c>
      <c r="D220" s="47">
        <v>6041</v>
      </c>
      <c r="E220" s="46" t="s">
        <v>1319</v>
      </c>
      <c r="F220" s="35">
        <v>94860</v>
      </c>
      <c r="G220" s="40">
        <v>94860</v>
      </c>
      <c r="H220" s="35">
        <v>0</v>
      </c>
      <c r="I220" s="35">
        <f t="shared" si="6"/>
        <v>94860</v>
      </c>
      <c r="J220" s="36">
        <f t="shared" si="7"/>
        <v>0</v>
      </c>
      <c r="K220" s="48" t="s">
        <v>37</v>
      </c>
      <c r="L220" s="48" t="s">
        <v>37</v>
      </c>
      <c r="M220" s="38">
        <v>41639</v>
      </c>
      <c r="N220" s="48"/>
      <c r="O220" s="35">
        <v>94860</v>
      </c>
      <c r="P220" s="35"/>
      <c r="Q220" s="35"/>
    </row>
    <row r="221" spans="1:17" s="15" customFormat="1" ht="26.25" customHeight="1" x14ac:dyDescent="0.2">
      <c r="A221" s="43" t="s">
        <v>1346</v>
      </c>
      <c r="B221" s="46" t="s">
        <v>39</v>
      </c>
      <c r="C221" s="44" t="s">
        <v>1351</v>
      </c>
      <c r="D221" s="47">
        <v>6058</v>
      </c>
      <c r="E221" s="46" t="s">
        <v>1356</v>
      </c>
      <c r="F221" s="35">
        <v>7417</v>
      </c>
      <c r="G221" s="40">
        <v>7417</v>
      </c>
      <c r="H221" s="35">
        <v>0</v>
      </c>
      <c r="I221" s="35">
        <f t="shared" si="6"/>
        <v>7417</v>
      </c>
      <c r="J221" s="36">
        <f t="shared" si="7"/>
        <v>0</v>
      </c>
      <c r="K221" s="48" t="s">
        <v>37</v>
      </c>
      <c r="L221" s="48" t="s">
        <v>37</v>
      </c>
      <c r="M221" s="38">
        <v>41772</v>
      </c>
      <c r="N221" s="48"/>
      <c r="O221" s="35">
        <v>7417</v>
      </c>
      <c r="P221" s="35"/>
      <c r="Q221" s="35"/>
    </row>
    <row r="222" spans="1:17" s="15" customFormat="1" ht="18" customHeight="1" x14ac:dyDescent="0.2">
      <c r="A222" s="43" t="s">
        <v>1360</v>
      </c>
      <c r="B222" s="46" t="s">
        <v>39</v>
      </c>
      <c r="C222" s="44" t="s">
        <v>1039</v>
      </c>
      <c r="D222" s="34">
        <v>6194</v>
      </c>
      <c r="E222" s="46" t="s">
        <v>1363</v>
      </c>
      <c r="F222" s="35">
        <f>22969*3</f>
        <v>68907</v>
      </c>
      <c r="G222" s="40">
        <f>22969*3</f>
        <v>68907</v>
      </c>
      <c r="H222" s="35">
        <v>0</v>
      </c>
      <c r="I222" s="35">
        <f t="shared" si="6"/>
        <v>68907</v>
      </c>
      <c r="J222" s="36">
        <f t="shared" si="7"/>
        <v>0</v>
      </c>
      <c r="K222" s="48" t="s">
        <v>37</v>
      </c>
      <c r="L222" s="48" t="s">
        <v>37</v>
      </c>
      <c r="M222" s="38">
        <v>41790</v>
      </c>
      <c r="N222" s="48" t="s">
        <v>64</v>
      </c>
      <c r="O222" s="49">
        <v>22969</v>
      </c>
      <c r="P222" s="35">
        <v>22969</v>
      </c>
      <c r="Q222" s="35">
        <v>22969</v>
      </c>
    </row>
    <row r="223" spans="1:17" s="15" customFormat="1" ht="38.25" customHeight="1" x14ac:dyDescent="0.2">
      <c r="A223" s="43" t="s">
        <v>1367</v>
      </c>
      <c r="B223" s="46" t="s">
        <v>39</v>
      </c>
      <c r="C223" s="44" t="s">
        <v>1369</v>
      </c>
      <c r="D223" s="34">
        <v>6223</v>
      </c>
      <c r="E223" s="46" t="s">
        <v>1372</v>
      </c>
      <c r="F223" s="35">
        <v>99500</v>
      </c>
      <c r="G223" s="40">
        <v>99500</v>
      </c>
      <c r="H223" s="35">
        <v>0</v>
      </c>
      <c r="I223" s="35">
        <f t="shared" si="6"/>
        <v>99500</v>
      </c>
      <c r="J223" s="36">
        <f t="shared" si="7"/>
        <v>0</v>
      </c>
      <c r="K223" s="48" t="s">
        <v>37</v>
      </c>
      <c r="L223" s="48" t="s">
        <v>42</v>
      </c>
      <c r="M223" s="38">
        <v>41790</v>
      </c>
      <c r="N223" s="48"/>
      <c r="O223" s="49">
        <v>99500</v>
      </c>
      <c r="P223" s="35"/>
      <c r="Q223" s="35"/>
    </row>
    <row r="224" spans="1:17" s="15" customFormat="1" ht="18" customHeight="1" x14ac:dyDescent="0.2">
      <c r="A224" s="43" t="s">
        <v>1374</v>
      </c>
      <c r="B224" s="46" t="s">
        <v>39</v>
      </c>
      <c r="C224" s="44" t="s">
        <v>1377</v>
      </c>
      <c r="D224" s="34">
        <v>6207</v>
      </c>
      <c r="E224" s="46" t="s">
        <v>1383</v>
      </c>
      <c r="F224" s="35">
        <v>30000</v>
      </c>
      <c r="G224" s="40">
        <v>30000</v>
      </c>
      <c r="H224" s="35">
        <v>0</v>
      </c>
      <c r="I224" s="35">
        <f t="shared" si="6"/>
        <v>30000</v>
      </c>
      <c r="J224" s="36">
        <f t="shared" si="7"/>
        <v>0</v>
      </c>
      <c r="K224" s="48" t="s">
        <v>37</v>
      </c>
      <c r="L224" s="48" t="s">
        <v>37</v>
      </c>
      <c r="M224" s="38">
        <v>41783</v>
      </c>
      <c r="N224" s="48"/>
      <c r="O224" s="49">
        <v>30000</v>
      </c>
      <c r="P224" s="35"/>
      <c r="Q224" s="35"/>
    </row>
    <row r="225" spans="1:17" s="15" customFormat="1" ht="26.25" customHeight="1" x14ac:dyDescent="0.2">
      <c r="A225" s="43" t="s">
        <v>1412</v>
      </c>
      <c r="B225" s="46" t="s">
        <v>39</v>
      </c>
      <c r="C225" s="44" t="s">
        <v>230</v>
      </c>
      <c r="D225" s="34">
        <v>6305</v>
      </c>
      <c r="E225" s="46" t="s">
        <v>1415</v>
      </c>
      <c r="F225" s="35">
        <f>75714*3</f>
        <v>227142</v>
      </c>
      <c r="G225" s="40">
        <f>75714*3</f>
        <v>227142</v>
      </c>
      <c r="H225" s="35">
        <v>0</v>
      </c>
      <c r="I225" s="35">
        <f t="shared" si="6"/>
        <v>227142</v>
      </c>
      <c r="J225" s="36">
        <f t="shared" si="7"/>
        <v>0</v>
      </c>
      <c r="K225" s="48" t="s">
        <v>37</v>
      </c>
      <c r="L225" s="48" t="s">
        <v>37</v>
      </c>
      <c r="M225" s="38">
        <v>41846</v>
      </c>
      <c r="N225" s="48" t="s">
        <v>64</v>
      </c>
      <c r="O225" s="35">
        <v>75714</v>
      </c>
      <c r="P225" s="35">
        <v>75714</v>
      </c>
      <c r="Q225" s="35">
        <v>75714</v>
      </c>
    </row>
    <row r="226" spans="1:17" s="15" customFormat="1" ht="26.25" customHeight="1" x14ac:dyDescent="0.2">
      <c r="A226" s="43" t="s">
        <v>1087</v>
      </c>
      <c r="B226" s="46" t="s">
        <v>1090</v>
      </c>
      <c r="C226" s="44" t="s">
        <v>1094</v>
      </c>
      <c r="D226" s="34">
        <v>5377</v>
      </c>
      <c r="E226" s="46" t="s">
        <v>1099</v>
      </c>
      <c r="F226" s="35">
        <v>45000</v>
      </c>
      <c r="G226" s="40">
        <v>45000</v>
      </c>
      <c r="H226" s="35">
        <v>0</v>
      </c>
      <c r="I226" s="35">
        <f t="shared" si="6"/>
        <v>45000</v>
      </c>
      <c r="J226" s="36">
        <f t="shared" si="7"/>
        <v>0</v>
      </c>
      <c r="K226" s="48" t="s">
        <v>37</v>
      </c>
      <c r="L226" s="48" t="s">
        <v>37</v>
      </c>
      <c r="M226" s="38">
        <v>41455</v>
      </c>
      <c r="N226" s="48"/>
      <c r="O226" s="35">
        <v>45000</v>
      </c>
      <c r="P226" s="35"/>
      <c r="Q226" s="35"/>
    </row>
    <row r="227" spans="1:17" s="15" customFormat="1" ht="26.25" customHeight="1" x14ac:dyDescent="0.2">
      <c r="A227" s="43" t="s">
        <v>127</v>
      </c>
      <c r="B227" s="46" t="s">
        <v>17</v>
      </c>
      <c r="C227" s="45" t="s">
        <v>130</v>
      </c>
      <c r="D227" s="39">
        <v>4125</v>
      </c>
      <c r="E227" s="46" t="s">
        <v>129</v>
      </c>
      <c r="F227" s="35">
        <v>10000</v>
      </c>
      <c r="G227" s="40">
        <v>10000</v>
      </c>
      <c r="H227" s="35">
        <v>0</v>
      </c>
      <c r="I227" s="35">
        <f t="shared" si="6"/>
        <v>10000</v>
      </c>
      <c r="J227" s="36">
        <f t="shared" si="7"/>
        <v>0</v>
      </c>
      <c r="K227" s="48" t="s">
        <v>37</v>
      </c>
      <c r="L227" s="48" t="s">
        <v>37</v>
      </c>
      <c r="M227" s="38">
        <v>41476</v>
      </c>
      <c r="N227" s="48"/>
      <c r="O227" s="41">
        <v>10000</v>
      </c>
      <c r="P227" s="41"/>
      <c r="Q227" s="41"/>
    </row>
    <row r="228" spans="1:17" s="15" customFormat="1" ht="26.25" customHeight="1" x14ac:dyDescent="0.2">
      <c r="A228" s="43" t="s">
        <v>135</v>
      </c>
      <c r="B228" s="46" t="s">
        <v>17</v>
      </c>
      <c r="C228" s="44" t="s">
        <v>143</v>
      </c>
      <c r="D228" s="34">
        <v>3618</v>
      </c>
      <c r="E228" s="46" t="s">
        <v>139</v>
      </c>
      <c r="F228" s="49">
        <f>28000+28000+28000</f>
        <v>84000</v>
      </c>
      <c r="G228" s="40">
        <v>25000</v>
      </c>
      <c r="H228" s="35">
        <f>25000+28000+28000+28000</f>
        <v>109000</v>
      </c>
      <c r="I228" s="35">
        <f t="shared" si="6"/>
        <v>134000</v>
      </c>
      <c r="J228" s="36">
        <f t="shared" si="7"/>
        <v>4.3600000000000003</v>
      </c>
      <c r="K228" s="48" t="s">
        <v>37</v>
      </c>
      <c r="L228" s="48" t="s">
        <v>37</v>
      </c>
      <c r="M228" s="38">
        <v>41090</v>
      </c>
      <c r="N228" s="48" t="s">
        <v>64</v>
      </c>
      <c r="O228" s="41">
        <f>28000+28000</f>
        <v>56000</v>
      </c>
      <c r="P228" s="55">
        <v>28000</v>
      </c>
      <c r="Q228" s="41"/>
    </row>
    <row r="229" spans="1:17" s="15" customFormat="1" ht="26.25" customHeight="1" x14ac:dyDescent="0.2">
      <c r="A229" s="43" t="s">
        <v>149</v>
      </c>
      <c r="B229" s="46" t="s">
        <v>17</v>
      </c>
      <c r="C229" s="44" t="s">
        <v>206</v>
      </c>
      <c r="D229" s="47">
        <v>3895</v>
      </c>
      <c r="E229" s="46" t="s">
        <v>202</v>
      </c>
      <c r="F229" s="35">
        <f>10000*3</f>
        <v>30000</v>
      </c>
      <c r="G229" s="40">
        <f>10000*3</f>
        <v>30000</v>
      </c>
      <c r="H229" s="35">
        <v>0</v>
      </c>
      <c r="I229" s="35">
        <f t="shared" si="6"/>
        <v>30000</v>
      </c>
      <c r="J229" s="36">
        <f t="shared" si="7"/>
        <v>0</v>
      </c>
      <c r="K229" s="48" t="s">
        <v>37</v>
      </c>
      <c r="L229" s="48" t="s">
        <v>37</v>
      </c>
      <c r="M229" s="38">
        <v>41455</v>
      </c>
      <c r="N229" s="48" t="s">
        <v>64</v>
      </c>
      <c r="O229" s="41">
        <v>10000</v>
      </c>
      <c r="P229" s="41">
        <v>10000</v>
      </c>
      <c r="Q229" s="41">
        <v>10000</v>
      </c>
    </row>
    <row r="230" spans="1:17" s="15" customFormat="1" ht="18" customHeight="1" x14ac:dyDescent="0.2">
      <c r="A230" s="43" t="s">
        <v>154</v>
      </c>
      <c r="B230" s="46" t="s">
        <v>17</v>
      </c>
      <c r="C230" s="44" t="s">
        <v>93</v>
      </c>
      <c r="D230" s="47">
        <v>3940</v>
      </c>
      <c r="E230" s="46" t="s">
        <v>182</v>
      </c>
      <c r="F230" s="35">
        <f>25000*3</f>
        <v>75000</v>
      </c>
      <c r="G230" s="40">
        <f>25000*3</f>
        <v>75000</v>
      </c>
      <c r="H230" s="35">
        <v>0</v>
      </c>
      <c r="I230" s="35">
        <f t="shared" si="6"/>
        <v>75000</v>
      </c>
      <c r="J230" s="36">
        <f t="shared" si="7"/>
        <v>0</v>
      </c>
      <c r="K230" s="48" t="s">
        <v>37</v>
      </c>
      <c r="L230" s="48" t="s">
        <v>37</v>
      </c>
      <c r="M230" s="38">
        <v>41455</v>
      </c>
      <c r="N230" s="48" t="s">
        <v>64</v>
      </c>
      <c r="O230" s="41">
        <v>25000</v>
      </c>
      <c r="P230" s="41">
        <v>25000</v>
      </c>
      <c r="Q230" s="41">
        <v>25000</v>
      </c>
    </row>
    <row r="231" spans="1:17" s="15" customFormat="1" ht="26.25" customHeight="1" x14ac:dyDescent="0.2">
      <c r="A231" s="43" t="s">
        <v>155</v>
      </c>
      <c r="B231" s="46" t="s">
        <v>17</v>
      </c>
      <c r="C231" s="44" t="s">
        <v>208</v>
      </c>
      <c r="D231" s="47">
        <v>3944</v>
      </c>
      <c r="E231" s="46" t="s">
        <v>183</v>
      </c>
      <c r="F231" s="35">
        <f>35000*3</f>
        <v>105000</v>
      </c>
      <c r="G231" s="40">
        <f>35000*3</f>
        <v>105000</v>
      </c>
      <c r="H231" s="35">
        <v>0</v>
      </c>
      <c r="I231" s="35">
        <f t="shared" si="6"/>
        <v>105000</v>
      </c>
      <c r="J231" s="36">
        <f t="shared" si="7"/>
        <v>0</v>
      </c>
      <c r="K231" s="48" t="s">
        <v>37</v>
      </c>
      <c r="L231" s="48" t="s">
        <v>37</v>
      </c>
      <c r="M231" s="38">
        <v>41455</v>
      </c>
      <c r="N231" s="48" t="s">
        <v>64</v>
      </c>
      <c r="O231" s="41">
        <v>35000</v>
      </c>
      <c r="P231" s="41">
        <v>35000</v>
      </c>
      <c r="Q231" s="41">
        <v>35000</v>
      </c>
    </row>
    <row r="232" spans="1:17" s="15" customFormat="1" ht="26.25" customHeight="1" x14ac:dyDescent="0.2">
      <c r="A232" s="43" t="s">
        <v>156</v>
      </c>
      <c r="B232" s="46" t="s">
        <v>17</v>
      </c>
      <c r="C232" s="44" t="s">
        <v>209</v>
      </c>
      <c r="D232" s="47">
        <v>3945</v>
      </c>
      <c r="E232" s="46" t="s">
        <v>184</v>
      </c>
      <c r="F232" s="35">
        <f>8000*3</f>
        <v>24000</v>
      </c>
      <c r="G232" s="40">
        <f>8000*3</f>
        <v>24000</v>
      </c>
      <c r="H232" s="35">
        <v>0</v>
      </c>
      <c r="I232" s="35">
        <f t="shared" si="6"/>
        <v>24000</v>
      </c>
      <c r="J232" s="36">
        <f t="shared" si="7"/>
        <v>0</v>
      </c>
      <c r="K232" s="48" t="s">
        <v>37</v>
      </c>
      <c r="L232" s="48" t="s">
        <v>37</v>
      </c>
      <c r="M232" s="38">
        <v>41455</v>
      </c>
      <c r="N232" s="48" t="s">
        <v>64</v>
      </c>
      <c r="O232" s="41">
        <v>8000</v>
      </c>
      <c r="P232" s="41">
        <v>8000</v>
      </c>
      <c r="Q232" s="41">
        <v>8000</v>
      </c>
    </row>
    <row r="233" spans="1:17" s="15" customFormat="1" ht="26.25" customHeight="1" x14ac:dyDescent="0.2">
      <c r="A233" s="43" t="s">
        <v>224</v>
      </c>
      <c r="B233" s="46" t="s">
        <v>17</v>
      </c>
      <c r="C233" s="44" t="s">
        <v>233</v>
      </c>
      <c r="D233" s="34">
        <v>4233</v>
      </c>
      <c r="E233" s="46" t="s">
        <v>242</v>
      </c>
      <c r="F233" s="35">
        <v>15000</v>
      </c>
      <c r="G233" s="40">
        <v>15000</v>
      </c>
      <c r="H233" s="35">
        <v>0</v>
      </c>
      <c r="I233" s="35">
        <f t="shared" si="6"/>
        <v>15000</v>
      </c>
      <c r="J233" s="36">
        <f t="shared" si="7"/>
        <v>0</v>
      </c>
      <c r="K233" s="48" t="s">
        <v>37</v>
      </c>
      <c r="L233" s="48" t="s">
        <v>37</v>
      </c>
      <c r="M233" s="38">
        <v>41455</v>
      </c>
      <c r="N233" s="37"/>
      <c r="O233" s="41">
        <v>15000</v>
      </c>
      <c r="P233" s="41"/>
      <c r="Q233" s="41"/>
    </row>
    <row r="234" spans="1:17" s="15" customFormat="1" ht="38.25" customHeight="1" x14ac:dyDescent="0.2">
      <c r="A234" s="43" t="s">
        <v>248</v>
      </c>
      <c r="B234" s="46" t="s">
        <v>17</v>
      </c>
      <c r="C234" s="44" t="s">
        <v>85</v>
      </c>
      <c r="D234" s="34">
        <v>4040</v>
      </c>
      <c r="E234" s="46" t="s">
        <v>267</v>
      </c>
      <c r="F234" s="35">
        <f>98000*3</f>
        <v>294000</v>
      </c>
      <c r="G234" s="40">
        <f>98000*3</f>
        <v>294000</v>
      </c>
      <c r="H234" s="35">
        <v>0</v>
      </c>
      <c r="I234" s="35">
        <f t="shared" si="6"/>
        <v>294000</v>
      </c>
      <c r="J234" s="36">
        <f t="shared" si="7"/>
        <v>0</v>
      </c>
      <c r="K234" s="48" t="s">
        <v>37</v>
      </c>
      <c r="L234" s="48" t="s">
        <v>37</v>
      </c>
      <c r="M234" s="38">
        <v>41455</v>
      </c>
      <c r="N234" s="48" t="s">
        <v>64</v>
      </c>
      <c r="O234" s="41">
        <v>98000</v>
      </c>
      <c r="P234" s="41">
        <v>98000</v>
      </c>
      <c r="Q234" s="41">
        <v>98000</v>
      </c>
    </row>
    <row r="235" spans="1:17" s="15" customFormat="1" ht="38.25" customHeight="1" x14ac:dyDescent="0.2">
      <c r="A235" s="43" t="s">
        <v>249</v>
      </c>
      <c r="B235" s="46" t="s">
        <v>17</v>
      </c>
      <c r="C235" s="44" t="s">
        <v>282</v>
      </c>
      <c r="D235" s="34">
        <v>4047</v>
      </c>
      <c r="E235" s="46" t="s">
        <v>267</v>
      </c>
      <c r="F235" s="35">
        <f t="shared" ref="F235:G237" si="8">60000*3</f>
        <v>180000</v>
      </c>
      <c r="G235" s="40">
        <f t="shared" si="8"/>
        <v>180000</v>
      </c>
      <c r="H235" s="35">
        <v>0</v>
      </c>
      <c r="I235" s="35">
        <f t="shared" si="6"/>
        <v>180000</v>
      </c>
      <c r="J235" s="36">
        <f t="shared" si="7"/>
        <v>0</v>
      </c>
      <c r="K235" s="48" t="s">
        <v>37</v>
      </c>
      <c r="L235" s="48" t="s">
        <v>37</v>
      </c>
      <c r="M235" s="38">
        <v>41455</v>
      </c>
      <c r="N235" s="48" t="s">
        <v>64</v>
      </c>
      <c r="O235" s="41">
        <v>60000</v>
      </c>
      <c r="P235" s="41">
        <v>60000</v>
      </c>
      <c r="Q235" s="41">
        <v>60000</v>
      </c>
    </row>
    <row r="236" spans="1:17" s="15" customFormat="1" ht="38.25" customHeight="1" x14ac:dyDescent="0.2">
      <c r="A236" s="43" t="s">
        <v>251</v>
      </c>
      <c r="B236" s="46" t="s">
        <v>17</v>
      </c>
      <c r="C236" s="44" t="s">
        <v>284</v>
      </c>
      <c r="D236" s="34">
        <v>4066</v>
      </c>
      <c r="E236" s="46" t="s">
        <v>267</v>
      </c>
      <c r="F236" s="35">
        <f t="shared" si="8"/>
        <v>180000</v>
      </c>
      <c r="G236" s="40">
        <f t="shared" si="8"/>
        <v>180000</v>
      </c>
      <c r="H236" s="35">
        <v>0</v>
      </c>
      <c r="I236" s="35">
        <f t="shared" si="6"/>
        <v>180000</v>
      </c>
      <c r="J236" s="36">
        <f t="shared" si="7"/>
        <v>0</v>
      </c>
      <c r="K236" s="48" t="s">
        <v>37</v>
      </c>
      <c r="L236" s="48" t="s">
        <v>37</v>
      </c>
      <c r="M236" s="38">
        <v>41455</v>
      </c>
      <c r="N236" s="48" t="s">
        <v>64</v>
      </c>
      <c r="O236" s="41">
        <v>60000</v>
      </c>
      <c r="P236" s="41">
        <v>60000</v>
      </c>
      <c r="Q236" s="41">
        <v>60000</v>
      </c>
    </row>
    <row r="237" spans="1:17" s="15" customFormat="1" ht="38.25" customHeight="1" x14ac:dyDescent="0.2">
      <c r="A237" s="43" t="s">
        <v>252</v>
      </c>
      <c r="B237" s="46" t="s">
        <v>17</v>
      </c>
      <c r="C237" s="44" t="s">
        <v>285</v>
      </c>
      <c r="D237" s="34">
        <v>4068</v>
      </c>
      <c r="E237" s="46" t="s">
        <v>267</v>
      </c>
      <c r="F237" s="35">
        <f t="shared" si="8"/>
        <v>180000</v>
      </c>
      <c r="G237" s="40">
        <f t="shared" si="8"/>
        <v>180000</v>
      </c>
      <c r="H237" s="35">
        <v>0</v>
      </c>
      <c r="I237" s="35">
        <f t="shared" si="6"/>
        <v>180000</v>
      </c>
      <c r="J237" s="36">
        <f t="shared" si="7"/>
        <v>0</v>
      </c>
      <c r="K237" s="48" t="s">
        <v>37</v>
      </c>
      <c r="L237" s="48" t="s">
        <v>37</v>
      </c>
      <c r="M237" s="38">
        <v>41455</v>
      </c>
      <c r="N237" s="48" t="s">
        <v>64</v>
      </c>
      <c r="O237" s="41">
        <v>60000</v>
      </c>
      <c r="P237" s="41">
        <v>60000</v>
      </c>
      <c r="Q237" s="41">
        <v>60000</v>
      </c>
    </row>
    <row r="238" spans="1:17" s="15" customFormat="1" ht="26.25" customHeight="1" x14ac:dyDescent="0.2">
      <c r="A238" s="43" t="s">
        <v>299</v>
      </c>
      <c r="B238" s="46" t="s">
        <v>17</v>
      </c>
      <c r="C238" s="44" t="s">
        <v>306</v>
      </c>
      <c r="D238" s="34">
        <v>4174</v>
      </c>
      <c r="E238" s="46" t="s">
        <v>312</v>
      </c>
      <c r="F238" s="35">
        <v>16000</v>
      </c>
      <c r="G238" s="40">
        <v>16000</v>
      </c>
      <c r="H238" s="35">
        <v>0</v>
      </c>
      <c r="I238" s="35">
        <f t="shared" si="6"/>
        <v>16000</v>
      </c>
      <c r="J238" s="36">
        <f t="shared" si="7"/>
        <v>0</v>
      </c>
      <c r="K238" s="48" t="s">
        <v>37</v>
      </c>
      <c r="L238" s="48" t="s">
        <v>37</v>
      </c>
      <c r="M238" s="38">
        <v>41455</v>
      </c>
      <c r="N238" s="37"/>
      <c r="O238" s="41">
        <v>16000</v>
      </c>
      <c r="P238" s="41"/>
      <c r="Q238" s="41"/>
    </row>
    <row r="239" spans="1:17" s="15" customFormat="1" ht="26.25" customHeight="1" x14ac:dyDescent="0.2">
      <c r="A239" s="43" t="s">
        <v>440</v>
      </c>
      <c r="B239" s="46" t="s">
        <v>17</v>
      </c>
      <c r="C239" s="44" t="s">
        <v>38</v>
      </c>
      <c r="D239" s="47">
        <v>4363</v>
      </c>
      <c r="E239" s="46" t="s">
        <v>466</v>
      </c>
      <c r="F239" s="35">
        <v>20000</v>
      </c>
      <c r="G239" s="40">
        <v>20000</v>
      </c>
      <c r="H239" s="35">
        <v>0</v>
      </c>
      <c r="I239" s="35">
        <f t="shared" si="6"/>
        <v>20000</v>
      </c>
      <c r="J239" s="36">
        <f t="shared" si="7"/>
        <v>0</v>
      </c>
      <c r="K239" s="48" t="s">
        <v>37</v>
      </c>
      <c r="L239" s="48" t="s">
        <v>37</v>
      </c>
      <c r="M239" s="38">
        <v>41182</v>
      </c>
      <c r="N239" s="48"/>
      <c r="O239" s="41">
        <v>20000</v>
      </c>
      <c r="P239" s="41"/>
      <c r="Q239" s="41"/>
    </row>
    <row r="240" spans="1:17" s="15" customFormat="1" ht="26.25" customHeight="1" x14ac:dyDescent="0.2">
      <c r="A240" s="43" t="s">
        <v>444</v>
      </c>
      <c r="B240" s="46" t="s">
        <v>17</v>
      </c>
      <c r="C240" s="44" t="s">
        <v>457</v>
      </c>
      <c r="D240" s="47">
        <v>4312</v>
      </c>
      <c r="E240" s="46" t="s">
        <v>470</v>
      </c>
      <c r="F240" s="35">
        <f>10680*3</f>
        <v>32040</v>
      </c>
      <c r="G240" s="40">
        <f>10680*2</f>
        <v>21360</v>
      </c>
      <c r="H240" s="35">
        <v>0</v>
      </c>
      <c r="I240" s="35">
        <f t="shared" si="6"/>
        <v>21360</v>
      </c>
      <c r="J240" s="36">
        <f t="shared" si="7"/>
        <v>0</v>
      </c>
      <c r="K240" s="48" t="s">
        <v>37</v>
      </c>
      <c r="L240" s="48" t="s">
        <v>37</v>
      </c>
      <c r="M240" s="38">
        <v>41455</v>
      </c>
      <c r="N240" s="48" t="s">
        <v>64</v>
      </c>
      <c r="O240" s="41">
        <v>10680</v>
      </c>
      <c r="P240" s="41">
        <v>10680</v>
      </c>
      <c r="Q240" s="41">
        <v>10680</v>
      </c>
    </row>
    <row r="241" spans="1:17" s="15" customFormat="1" ht="18" customHeight="1" x14ac:dyDescent="0.2">
      <c r="A241" s="43" t="s">
        <v>445</v>
      </c>
      <c r="B241" s="46" t="s">
        <v>17</v>
      </c>
      <c r="C241" s="44" t="s">
        <v>116</v>
      </c>
      <c r="D241" s="47">
        <v>4311</v>
      </c>
      <c r="E241" s="46" t="s">
        <v>471</v>
      </c>
      <c r="F241" s="35">
        <f>40000*3</f>
        <v>120000</v>
      </c>
      <c r="G241" s="40">
        <f>40000*3</f>
        <v>120000</v>
      </c>
      <c r="H241" s="35">
        <v>0</v>
      </c>
      <c r="I241" s="35">
        <f t="shared" si="6"/>
        <v>120000</v>
      </c>
      <c r="J241" s="36">
        <f t="shared" si="7"/>
        <v>0</v>
      </c>
      <c r="K241" s="48" t="s">
        <v>37</v>
      </c>
      <c r="L241" s="48" t="s">
        <v>37</v>
      </c>
      <c r="M241" s="38">
        <v>41455</v>
      </c>
      <c r="N241" s="48" t="s">
        <v>64</v>
      </c>
      <c r="O241" s="41">
        <v>40000</v>
      </c>
      <c r="P241" s="41">
        <v>40000</v>
      </c>
      <c r="Q241" s="41">
        <v>40000</v>
      </c>
    </row>
    <row r="242" spans="1:17" s="15" customFormat="1" ht="26.25" customHeight="1" x14ac:dyDescent="0.2">
      <c r="A242" s="43" t="s">
        <v>449</v>
      </c>
      <c r="B242" s="46" t="s">
        <v>17</v>
      </c>
      <c r="C242" s="44" t="s">
        <v>461</v>
      </c>
      <c r="D242" s="47">
        <v>4284</v>
      </c>
      <c r="E242" s="46" t="s">
        <v>475</v>
      </c>
      <c r="F242" s="35">
        <f>7350*3</f>
        <v>22050</v>
      </c>
      <c r="G242" s="40">
        <f>7350*3</f>
        <v>22050</v>
      </c>
      <c r="H242" s="35">
        <v>0</v>
      </c>
      <c r="I242" s="35">
        <f t="shared" si="6"/>
        <v>22050</v>
      </c>
      <c r="J242" s="36">
        <f t="shared" si="7"/>
        <v>0</v>
      </c>
      <c r="K242" s="48" t="s">
        <v>37</v>
      </c>
      <c r="L242" s="48" t="s">
        <v>37</v>
      </c>
      <c r="M242" s="38">
        <v>41455</v>
      </c>
      <c r="N242" s="48" t="s">
        <v>64</v>
      </c>
      <c r="O242" s="41">
        <v>7350</v>
      </c>
      <c r="P242" s="41">
        <v>7350</v>
      </c>
      <c r="Q242" s="41">
        <v>7350</v>
      </c>
    </row>
    <row r="243" spans="1:17" s="15" customFormat="1" ht="26.25" customHeight="1" x14ac:dyDescent="0.2">
      <c r="A243" s="43" t="s">
        <v>450</v>
      </c>
      <c r="B243" s="46" t="s">
        <v>17</v>
      </c>
      <c r="C243" s="44" t="s">
        <v>462</v>
      </c>
      <c r="D243" s="47">
        <v>3933</v>
      </c>
      <c r="E243" s="46" t="s">
        <v>476</v>
      </c>
      <c r="F243" s="35">
        <f>10000*3</f>
        <v>30000</v>
      </c>
      <c r="G243" s="40">
        <f>10000*3</f>
        <v>30000</v>
      </c>
      <c r="H243" s="35">
        <v>0</v>
      </c>
      <c r="I243" s="35">
        <f t="shared" si="6"/>
        <v>30000</v>
      </c>
      <c r="J243" s="36">
        <f t="shared" si="7"/>
        <v>0</v>
      </c>
      <c r="K243" s="48" t="s">
        <v>37</v>
      </c>
      <c r="L243" s="48" t="s">
        <v>37</v>
      </c>
      <c r="M243" s="38">
        <v>41455</v>
      </c>
      <c r="N243" s="48" t="s">
        <v>64</v>
      </c>
      <c r="O243" s="41">
        <v>10000</v>
      </c>
      <c r="P243" s="41">
        <v>10000</v>
      </c>
      <c r="Q243" s="41">
        <v>10000</v>
      </c>
    </row>
    <row r="244" spans="1:17" s="15" customFormat="1" ht="26.25" customHeight="1" x14ac:dyDescent="0.2">
      <c r="A244" s="43" t="s">
        <v>489</v>
      </c>
      <c r="B244" s="46" t="s">
        <v>17</v>
      </c>
      <c r="C244" s="44" t="s">
        <v>500</v>
      </c>
      <c r="D244" s="47">
        <v>3942</v>
      </c>
      <c r="E244" s="46" t="s">
        <v>515</v>
      </c>
      <c r="F244" s="35">
        <f>15000*3</f>
        <v>45000</v>
      </c>
      <c r="G244" s="40">
        <f>15000*3</f>
        <v>45000</v>
      </c>
      <c r="H244" s="35">
        <v>0</v>
      </c>
      <c r="I244" s="35">
        <f t="shared" si="6"/>
        <v>45000</v>
      </c>
      <c r="J244" s="36">
        <f t="shared" si="7"/>
        <v>0</v>
      </c>
      <c r="K244" s="48" t="s">
        <v>37</v>
      </c>
      <c r="L244" s="48" t="s">
        <v>37</v>
      </c>
      <c r="M244" s="38">
        <v>41455</v>
      </c>
      <c r="N244" s="48" t="s">
        <v>64</v>
      </c>
      <c r="O244" s="41">
        <v>15000</v>
      </c>
      <c r="P244" s="41">
        <v>15000</v>
      </c>
      <c r="Q244" s="41">
        <v>15000</v>
      </c>
    </row>
    <row r="245" spans="1:17" s="15" customFormat="1" ht="18" customHeight="1" x14ac:dyDescent="0.2">
      <c r="A245" s="43" t="s">
        <v>490</v>
      </c>
      <c r="B245" s="46" t="s">
        <v>17</v>
      </c>
      <c r="C245" s="44" t="s">
        <v>501</v>
      </c>
      <c r="D245" s="47">
        <v>3939</v>
      </c>
      <c r="E245" s="46" t="s">
        <v>516</v>
      </c>
      <c r="F245" s="35">
        <f>30000*3</f>
        <v>90000</v>
      </c>
      <c r="G245" s="40">
        <f>30000*3</f>
        <v>90000</v>
      </c>
      <c r="H245" s="35">
        <v>0</v>
      </c>
      <c r="I245" s="35">
        <f t="shared" si="6"/>
        <v>90000</v>
      </c>
      <c r="J245" s="36">
        <f t="shared" si="7"/>
        <v>0</v>
      </c>
      <c r="K245" s="48" t="s">
        <v>37</v>
      </c>
      <c r="L245" s="48" t="s">
        <v>37</v>
      </c>
      <c r="M245" s="38">
        <v>41455</v>
      </c>
      <c r="N245" s="48" t="s">
        <v>64</v>
      </c>
      <c r="O245" s="41">
        <v>30000</v>
      </c>
      <c r="P245" s="41">
        <v>30000</v>
      </c>
      <c r="Q245" s="41">
        <v>30000</v>
      </c>
    </row>
    <row r="246" spans="1:17" s="15" customFormat="1" ht="38.25" customHeight="1" x14ac:dyDescent="0.2">
      <c r="A246" s="43" t="s">
        <v>491</v>
      </c>
      <c r="B246" s="46" t="s">
        <v>17</v>
      </c>
      <c r="C246" s="44" t="s">
        <v>502</v>
      </c>
      <c r="D246" s="47">
        <v>4330</v>
      </c>
      <c r="E246" s="46" t="s">
        <v>517</v>
      </c>
      <c r="F246" s="35">
        <v>14995</v>
      </c>
      <c r="G246" s="40">
        <v>14994</v>
      </c>
      <c r="H246" s="35">
        <v>0</v>
      </c>
      <c r="I246" s="35">
        <f t="shared" si="6"/>
        <v>14994</v>
      </c>
      <c r="J246" s="36">
        <f t="shared" si="7"/>
        <v>0</v>
      </c>
      <c r="K246" s="48" t="s">
        <v>37</v>
      </c>
      <c r="L246" s="48" t="s">
        <v>42</v>
      </c>
      <c r="M246" s="38">
        <v>41182</v>
      </c>
      <c r="N246" s="48"/>
      <c r="O246" s="41">
        <v>14995</v>
      </c>
      <c r="P246" s="41"/>
      <c r="Q246" s="41"/>
    </row>
    <row r="247" spans="1:17" s="15" customFormat="1" ht="18" customHeight="1" x14ac:dyDescent="0.2">
      <c r="A247" s="43" t="s">
        <v>521</v>
      </c>
      <c r="B247" s="46" t="s">
        <v>17</v>
      </c>
      <c r="C247" s="44" t="s">
        <v>526</v>
      </c>
      <c r="D247" s="47">
        <v>4331</v>
      </c>
      <c r="E247" s="46" t="s">
        <v>528</v>
      </c>
      <c r="F247" s="35">
        <f>60000*3</f>
        <v>180000</v>
      </c>
      <c r="G247" s="40">
        <f>60000*3</f>
        <v>180000</v>
      </c>
      <c r="H247" s="35">
        <v>0</v>
      </c>
      <c r="I247" s="35">
        <f t="shared" si="6"/>
        <v>180000</v>
      </c>
      <c r="J247" s="36">
        <f t="shared" si="7"/>
        <v>0</v>
      </c>
      <c r="K247" s="48" t="s">
        <v>37</v>
      </c>
      <c r="L247" s="48" t="s">
        <v>37</v>
      </c>
      <c r="M247" s="38">
        <v>41455</v>
      </c>
      <c r="N247" s="48" t="s">
        <v>64</v>
      </c>
      <c r="O247" s="41">
        <v>60000</v>
      </c>
      <c r="P247" s="41">
        <v>60000</v>
      </c>
      <c r="Q247" s="41">
        <v>60000</v>
      </c>
    </row>
    <row r="248" spans="1:17" s="15" customFormat="1" ht="26.25" customHeight="1" x14ac:dyDescent="0.2">
      <c r="A248" s="43" t="s">
        <v>524</v>
      </c>
      <c r="B248" s="46" t="s">
        <v>17</v>
      </c>
      <c r="C248" s="44" t="s">
        <v>118</v>
      </c>
      <c r="D248" s="47">
        <v>4309</v>
      </c>
      <c r="E248" s="46" t="s">
        <v>531</v>
      </c>
      <c r="F248" s="35">
        <f>52358*3</f>
        <v>157074</v>
      </c>
      <c r="G248" s="40">
        <f>52358*3</f>
        <v>157074</v>
      </c>
      <c r="H248" s="35">
        <v>0</v>
      </c>
      <c r="I248" s="35">
        <f t="shared" si="6"/>
        <v>157074</v>
      </c>
      <c r="J248" s="36">
        <f t="shared" si="7"/>
        <v>0</v>
      </c>
      <c r="K248" s="48" t="s">
        <v>37</v>
      </c>
      <c r="L248" s="48" t="s">
        <v>37</v>
      </c>
      <c r="M248" s="38">
        <v>41455</v>
      </c>
      <c r="N248" s="48" t="s">
        <v>64</v>
      </c>
      <c r="O248" s="41">
        <v>52358</v>
      </c>
      <c r="P248" s="41">
        <v>52358</v>
      </c>
      <c r="Q248" s="41">
        <v>52358</v>
      </c>
    </row>
    <row r="249" spans="1:17" s="15" customFormat="1" ht="26.25" customHeight="1" x14ac:dyDescent="0.2">
      <c r="A249" s="43" t="s">
        <v>544</v>
      </c>
      <c r="B249" s="46" t="s">
        <v>17</v>
      </c>
      <c r="C249" s="44" t="s">
        <v>558</v>
      </c>
      <c r="D249" s="47">
        <v>4165</v>
      </c>
      <c r="E249" s="46" t="s">
        <v>574</v>
      </c>
      <c r="F249" s="35">
        <f>25500*3</f>
        <v>76500</v>
      </c>
      <c r="G249" s="40">
        <f>25500*3</f>
        <v>76500</v>
      </c>
      <c r="H249" s="35">
        <v>0</v>
      </c>
      <c r="I249" s="35">
        <f t="shared" si="6"/>
        <v>76500</v>
      </c>
      <c r="J249" s="36">
        <f t="shared" si="7"/>
        <v>0</v>
      </c>
      <c r="K249" s="48" t="s">
        <v>37</v>
      </c>
      <c r="L249" s="48" t="s">
        <v>37</v>
      </c>
      <c r="M249" s="38">
        <v>41455</v>
      </c>
      <c r="N249" s="48" t="s">
        <v>64</v>
      </c>
      <c r="O249" s="41">
        <v>25500</v>
      </c>
      <c r="P249" s="41">
        <v>25500</v>
      </c>
      <c r="Q249" s="41">
        <v>25500</v>
      </c>
    </row>
    <row r="250" spans="1:17" s="15" customFormat="1" ht="38.25" customHeight="1" x14ac:dyDescent="0.2">
      <c r="A250" s="43" t="s">
        <v>598</v>
      </c>
      <c r="B250" s="46" t="s">
        <v>17</v>
      </c>
      <c r="C250" s="44" t="s">
        <v>98</v>
      </c>
      <c r="D250" s="34">
        <v>4229</v>
      </c>
      <c r="E250" s="46" t="s">
        <v>661</v>
      </c>
      <c r="F250" s="35">
        <v>15000</v>
      </c>
      <c r="G250" s="40">
        <v>20000</v>
      </c>
      <c r="H250" s="35">
        <v>15000</v>
      </c>
      <c r="I250" s="35">
        <f t="shared" si="6"/>
        <v>35000</v>
      </c>
      <c r="J250" s="36">
        <f t="shared" si="7"/>
        <v>0.75</v>
      </c>
      <c r="K250" s="48" t="s">
        <v>37</v>
      </c>
      <c r="L250" s="48" t="s">
        <v>37</v>
      </c>
      <c r="M250" s="38">
        <v>41243</v>
      </c>
      <c r="N250" s="48" t="s">
        <v>36</v>
      </c>
      <c r="O250" s="35">
        <v>15000</v>
      </c>
      <c r="P250" s="35"/>
      <c r="Q250" s="35"/>
    </row>
    <row r="251" spans="1:17" s="15" customFormat="1" ht="26.25" customHeight="1" x14ac:dyDescent="0.2">
      <c r="A251" s="43" t="s">
        <v>654</v>
      </c>
      <c r="B251" s="46" t="s">
        <v>17</v>
      </c>
      <c r="C251" s="44" t="s">
        <v>667</v>
      </c>
      <c r="D251" s="34">
        <v>4412</v>
      </c>
      <c r="E251" s="46" t="s">
        <v>672</v>
      </c>
      <c r="F251" s="35">
        <f>60000*3</f>
        <v>180000</v>
      </c>
      <c r="G251" s="40">
        <f>60000*3</f>
        <v>180000</v>
      </c>
      <c r="H251" s="35">
        <v>0</v>
      </c>
      <c r="I251" s="35">
        <f t="shared" si="6"/>
        <v>180000</v>
      </c>
      <c r="J251" s="36">
        <f t="shared" si="7"/>
        <v>0</v>
      </c>
      <c r="K251" s="48" t="s">
        <v>37</v>
      </c>
      <c r="L251" s="48" t="s">
        <v>37</v>
      </c>
      <c r="M251" s="38">
        <v>41455</v>
      </c>
      <c r="N251" s="48" t="s">
        <v>64</v>
      </c>
      <c r="O251" s="35">
        <v>60000</v>
      </c>
      <c r="P251" s="35">
        <v>60000</v>
      </c>
      <c r="Q251" s="35">
        <v>60000</v>
      </c>
    </row>
    <row r="252" spans="1:17" s="15" customFormat="1" ht="26.25" customHeight="1" x14ac:dyDescent="0.2">
      <c r="A252" s="43" t="s">
        <v>655</v>
      </c>
      <c r="B252" s="46" t="s">
        <v>17</v>
      </c>
      <c r="C252" s="44" t="s">
        <v>668</v>
      </c>
      <c r="D252" s="34">
        <v>4105</v>
      </c>
      <c r="E252" s="46" t="s">
        <v>673</v>
      </c>
      <c r="F252" s="49">
        <f>65000*3</f>
        <v>195000</v>
      </c>
      <c r="G252" s="40">
        <f>65000*3</f>
        <v>195000</v>
      </c>
      <c r="H252" s="35">
        <v>0</v>
      </c>
      <c r="I252" s="35">
        <f t="shared" si="6"/>
        <v>195000</v>
      </c>
      <c r="J252" s="36">
        <f t="shared" si="7"/>
        <v>0</v>
      </c>
      <c r="K252" s="48" t="s">
        <v>37</v>
      </c>
      <c r="L252" s="48" t="s">
        <v>37</v>
      </c>
      <c r="M252" s="38">
        <v>41455</v>
      </c>
      <c r="N252" s="48" t="s">
        <v>64</v>
      </c>
      <c r="O252" s="35">
        <v>65000</v>
      </c>
      <c r="P252" s="35">
        <v>65000</v>
      </c>
      <c r="Q252" s="35">
        <v>65000</v>
      </c>
    </row>
    <row r="253" spans="1:17" s="15" customFormat="1" ht="26.25" customHeight="1" x14ac:dyDescent="0.2">
      <c r="A253" s="43" t="s">
        <v>657</v>
      </c>
      <c r="B253" s="46" t="s">
        <v>17</v>
      </c>
      <c r="C253" s="44" t="s">
        <v>670</v>
      </c>
      <c r="D253" s="34">
        <v>4321</v>
      </c>
      <c r="E253" s="46" t="s">
        <v>675</v>
      </c>
      <c r="F253" s="35">
        <f>91256*3</f>
        <v>273768</v>
      </c>
      <c r="G253" s="40">
        <f>91256*3</f>
        <v>273768</v>
      </c>
      <c r="H253" s="35">
        <v>0</v>
      </c>
      <c r="I253" s="35">
        <f t="shared" si="6"/>
        <v>273768</v>
      </c>
      <c r="J253" s="36">
        <f t="shared" si="7"/>
        <v>0</v>
      </c>
      <c r="K253" s="48" t="s">
        <v>37</v>
      </c>
      <c r="L253" s="48" t="s">
        <v>37</v>
      </c>
      <c r="M253" s="38">
        <v>41455</v>
      </c>
      <c r="N253" s="48" t="s">
        <v>64</v>
      </c>
      <c r="O253" s="35">
        <v>91256</v>
      </c>
      <c r="P253" s="35">
        <v>91256</v>
      </c>
      <c r="Q253" s="35">
        <v>91256</v>
      </c>
    </row>
    <row r="254" spans="1:17" s="15" customFormat="1" ht="26.25" customHeight="1" x14ac:dyDescent="0.2">
      <c r="A254" s="43" t="s">
        <v>611</v>
      </c>
      <c r="B254" s="46" t="s">
        <v>17</v>
      </c>
      <c r="C254" s="44" t="s">
        <v>620</v>
      </c>
      <c r="D254" s="34">
        <v>4225</v>
      </c>
      <c r="E254" s="46" t="s">
        <v>630</v>
      </c>
      <c r="F254" s="35">
        <v>55296</v>
      </c>
      <c r="G254" s="40">
        <v>55296</v>
      </c>
      <c r="H254" s="35">
        <v>0</v>
      </c>
      <c r="I254" s="35">
        <f t="shared" si="6"/>
        <v>55296</v>
      </c>
      <c r="J254" s="36">
        <f t="shared" si="7"/>
        <v>0</v>
      </c>
      <c r="K254" s="48" t="s">
        <v>37</v>
      </c>
      <c r="L254" s="48" t="s">
        <v>42</v>
      </c>
      <c r="M254" s="38">
        <v>42628</v>
      </c>
      <c r="N254" s="48"/>
      <c r="O254" s="35">
        <v>55296</v>
      </c>
      <c r="P254" s="35"/>
      <c r="Q254" s="35"/>
    </row>
    <row r="255" spans="1:17" s="15" customFormat="1" ht="26.25" customHeight="1" x14ac:dyDescent="0.2">
      <c r="A255" s="43" t="s">
        <v>616</v>
      </c>
      <c r="B255" s="46" t="s">
        <v>17</v>
      </c>
      <c r="C255" s="44" t="s">
        <v>624</v>
      </c>
      <c r="D255" s="34">
        <v>4114</v>
      </c>
      <c r="E255" s="46" t="s">
        <v>634</v>
      </c>
      <c r="F255" s="35">
        <f>50000*3</f>
        <v>150000</v>
      </c>
      <c r="G255" s="40">
        <f>50000*3</f>
        <v>150000</v>
      </c>
      <c r="H255" s="35">
        <v>0</v>
      </c>
      <c r="I255" s="35">
        <f t="shared" si="6"/>
        <v>150000</v>
      </c>
      <c r="J255" s="36">
        <f t="shared" si="7"/>
        <v>0</v>
      </c>
      <c r="K255" s="48" t="s">
        <v>37</v>
      </c>
      <c r="L255" s="48" t="s">
        <v>37</v>
      </c>
      <c r="M255" s="38">
        <v>41455</v>
      </c>
      <c r="N255" s="48" t="s">
        <v>64</v>
      </c>
      <c r="O255" s="35">
        <v>50000</v>
      </c>
      <c r="P255" s="35">
        <v>50000</v>
      </c>
      <c r="Q255" s="35">
        <v>50000</v>
      </c>
    </row>
    <row r="256" spans="1:17" s="15" customFormat="1" ht="26.25" customHeight="1" x14ac:dyDescent="0.2">
      <c r="A256" s="43" t="s">
        <v>636</v>
      </c>
      <c r="B256" s="46" t="s">
        <v>17</v>
      </c>
      <c r="C256" s="44" t="s">
        <v>643</v>
      </c>
      <c r="D256" s="34">
        <v>4663</v>
      </c>
      <c r="E256" s="46" t="s">
        <v>648</v>
      </c>
      <c r="F256" s="35">
        <f>11000*3</f>
        <v>33000</v>
      </c>
      <c r="G256" s="40">
        <f>11000*3</f>
        <v>33000</v>
      </c>
      <c r="H256" s="35">
        <v>0</v>
      </c>
      <c r="I256" s="35">
        <f t="shared" si="6"/>
        <v>33000</v>
      </c>
      <c r="J256" s="36">
        <f t="shared" si="7"/>
        <v>0</v>
      </c>
      <c r="K256" s="48" t="s">
        <v>37</v>
      </c>
      <c r="L256" s="48" t="s">
        <v>37</v>
      </c>
      <c r="M256" s="38">
        <v>41455</v>
      </c>
      <c r="N256" s="48" t="s">
        <v>64</v>
      </c>
      <c r="O256" s="35">
        <v>11000</v>
      </c>
      <c r="P256" s="35">
        <v>11000</v>
      </c>
      <c r="Q256" s="35">
        <v>11000</v>
      </c>
    </row>
    <row r="257" spans="1:17" s="15" customFormat="1" ht="26.25" customHeight="1" x14ac:dyDescent="0.2">
      <c r="A257" s="43" t="s">
        <v>722</v>
      </c>
      <c r="B257" s="46" t="s">
        <v>17</v>
      </c>
      <c r="C257" s="44" t="s">
        <v>735</v>
      </c>
      <c r="D257" s="34">
        <v>4514</v>
      </c>
      <c r="E257" s="46" t="s">
        <v>727</v>
      </c>
      <c r="F257" s="35">
        <v>99484</v>
      </c>
      <c r="G257" s="40">
        <v>99484</v>
      </c>
      <c r="H257" s="35">
        <v>0</v>
      </c>
      <c r="I257" s="35">
        <f t="shared" si="6"/>
        <v>99484</v>
      </c>
      <c r="J257" s="36">
        <f t="shared" si="7"/>
        <v>0</v>
      </c>
      <c r="K257" s="48" t="s">
        <v>37</v>
      </c>
      <c r="L257" s="48" t="s">
        <v>42</v>
      </c>
      <c r="M257" s="38">
        <v>41578</v>
      </c>
      <c r="N257" s="37"/>
      <c r="O257" s="35">
        <v>99484</v>
      </c>
      <c r="P257" s="35"/>
      <c r="Q257" s="35"/>
    </row>
    <row r="258" spans="1:17" s="15" customFormat="1" ht="26.25" customHeight="1" x14ac:dyDescent="0.2">
      <c r="A258" s="43" t="s">
        <v>740</v>
      </c>
      <c r="B258" s="46" t="s">
        <v>17</v>
      </c>
      <c r="C258" s="44" t="s">
        <v>758</v>
      </c>
      <c r="D258" s="34">
        <v>4693</v>
      </c>
      <c r="E258" s="46" t="s">
        <v>751</v>
      </c>
      <c r="F258" s="35">
        <f>10000*3</f>
        <v>30000</v>
      </c>
      <c r="G258" s="40">
        <f>10000*3</f>
        <v>30000</v>
      </c>
      <c r="H258" s="35">
        <v>0</v>
      </c>
      <c r="I258" s="35">
        <f t="shared" ref="I258:I319" si="9">G258+H258</f>
        <v>30000</v>
      </c>
      <c r="J258" s="36">
        <f t="shared" ref="J258:J319" si="10">IF(G258=0,100%,(I258-G258)/G258)</f>
        <v>0</v>
      </c>
      <c r="K258" s="48" t="s">
        <v>37</v>
      </c>
      <c r="L258" s="48" t="s">
        <v>37</v>
      </c>
      <c r="M258" s="38">
        <v>41455</v>
      </c>
      <c r="N258" s="48" t="s">
        <v>64</v>
      </c>
      <c r="O258" s="35">
        <v>10000</v>
      </c>
      <c r="P258" s="35">
        <v>10000</v>
      </c>
      <c r="Q258" s="35">
        <v>10000</v>
      </c>
    </row>
    <row r="259" spans="1:17" s="15" customFormat="1" ht="26.25" customHeight="1" x14ac:dyDescent="0.2">
      <c r="A259" s="43" t="s">
        <v>769</v>
      </c>
      <c r="B259" s="46" t="s">
        <v>17</v>
      </c>
      <c r="C259" s="44" t="s">
        <v>794</v>
      </c>
      <c r="D259" s="34">
        <v>4945</v>
      </c>
      <c r="E259" s="46" t="s">
        <v>789</v>
      </c>
      <c r="F259" s="35">
        <f>95000*3</f>
        <v>285000</v>
      </c>
      <c r="G259" s="40">
        <f>95000*3</f>
        <v>285000</v>
      </c>
      <c r="H259" s="35">
        <v>0</v>
      </c>
      <c r="I259" s="35">
        <f t="shared" si="9"/>
        <v>285000</v>
      </c>
      <c r="J259" s="36">
        <f t="shared" si="10"/>
        <v>0</v>
      </c>
      <c r="K259" s="48" t="s">
        <v>37</v>
      </c>
      <c r="L259" s="48" t="s">
        <v>37</v>
      </c>
      <c r="M259" s="38">
        <v>41455</v>
      </c>
      <c r="N259" s="48" t="s">
        <v>64</v>
      </c>
      <c r="O259" s="35">
        <v>95000</v>
      </c>
      <c r="P259" s="35">
        <v>95000</v>
      </c>
      <c r="Q259" s="35">
        <v>95000</v>
      </c>
    </row>
    <row r="260" spans="1:17" s="15" customFormat="1" ht="26.25" customHeight="1" x14ac:dyDescent="0.2">
      <c r="A260" s="43" t="s">
        <v>770</v>
      </c>
      <c r="B260" s="46" t="s">
        <v>17</v>
      </c>
      <c r="C260" s="44" t="s">
        <v>795</v>
      </c>
      <c r="D260" s="34">
        <v>4332</v>
      </c>
      <c r="E260" s="46" t="s">
        <v>782</v>
      </c>
      <c r="F260" s="35">
        <f>50000*3</f>
        <v>150000</v>
      </c>
      <c r="G260" s="40">
        <f>50000*3</f>
        <v>150000</v>
      </c>
      <c r="H260" s="35">
        <v>0</v>
      </c>
      <c r="I260" s="35">
        <f t="shared" si="9"/>
        <v>150000</v>
      </c>
      <c r="J260" s="36">
        <f t="shared" si="10"/>
        <v>0</v>
      </c>
      <c r="K260" s="48" t="s">
        <v>37</v>
      </c>
      <c r="L260" s="48" t="s">
        <v>37</v>
      </c>
      <c r="M260" s="38">
        <v>41455</v>
      </c>
      <c r="N260" s="48" t="s">
        <v>64</v>
      </c>
      <c r="O260" s="35">
        <v>50000</v>
      </c>
      <c r="P260" s="35">
        <v>50000</v>
      </c>
      <c r="Q260" s="35">
        <v>50000</v>
      </c>
    </row>
    <row r="261" spans="1:17" s="15" customFormat="1" ht="26.25" customHeight="1" x14ac:dyDescent="0.2">
      <c r="A261" s="43" t="s">
        <v>771</v>
      </c>
      <c r="B261" s="46" t="s">
        <v>17</v>
      </c>
      <c r="C261" s="44" t="s">
        <v>796</v>
      </c>
      <c r="D261" s="34">
        <v>4413</v>
      </c>
      <c r="E261" s="46" t="s">
        <v>783</v>
      </c>
      <c r="F261" s="35">
        <f>77000*3</f>
        <v>231000</v>
      </c>
      <c r="G261" s="40">
        <f>77000*3</f>
        <v>231000</v>
      </c>
      <c r="H261" s="35">
        <v>0</v>
      </c>
      <c r="I261" s="35">
        <f t="shared" si="9"/>
        <v>231000</v>
      </c>
      <c r="J261" s="36">
        <f t="shared" si="10"/>
        <v>0</v>
      </c>
      <c r="K261" s="48" t="s">
        <v>37</v>
      </c>
      <c r="L261" s="48" t="s">
        <v>37</v>
      </c>
      <c r="M261" s="38">
        <v>41455</v>
      </c>
      <c r="N261" s="48" t="s">
        <v>64</v>
      </c>
      <c r="O261" s="35">
        <v>77000</v>
      </c>
      <c r="P261" s="35">
        <v>77000</v>
      </c>
      <c r="Q261" s="35">
        <v>77000</v>
      </c>
    </row>
    <row r="262" spans="1:17" s="15" customFormat="1" ht="26.25" customHeight="1" x14ac:dyDescent="0.2">
      <c r="A262" s="43" t="s">
        <v>772</v>
      </c>
      <c r="B262" s="46" t="s">
        <v>17</v>
      </c>
      <c r="C262" s="44" t="s">
        <v>797</v>
      </c>
      <c r="D262" s="34">
        <v>4832</v>
      </c>
      <c r="E262" s="46" t="s">
        <v>784</v>
      </c>
      <c r="F262" s="35">
        <v>32000</v>
      </c>
      <c r="G262" s="40">
        <v>32000</v>
      </c>
      <c r="H262" s="35">
        <v>32000</v>
      </c>
      <c r="I262" s="35">
        <f t="shared" si="9"/>
        <v>64000</v>
      </c>
      <c r="J262" s="36">
        <f t="shared" si="10"/>
        <v>1</v>
      </c>
      <c r="K262" s="48" t="s">
        <v>37</v>
      </c>
      <c r="L262" s="48" t="s">
        <v>37</v>
      </c>
      <c r="M262" s="38">
        <v>41455</v>
      </c>
      <c r="N262" s="48" t="s">
        <v>36</v>
      </c>
      <c r="O262" s="35">
        <v>32000</v>
      </c>
      <c r="P262" s="35"/>
      <c r="Q262" s="35"/>
    </row>
    <row r="263" spans="1:17" s="15" customFormat="1" ht="26.25" customHeight="1" x14ac:dyDescent="0.2">
      <c r="A263" s="43" t="s">
        <v>774</v>
      </c>
      <c r="B263" s="46" t="s">
        <v>17</v>
      </c>
      <c r="C263" s="44" t="s">
        <v>799</v>
      </c>
      <c r="D263" s="34">
        <v>4166</v>
      </c>
      <c r="E263" s="46" t="s">
        <v>786</v>
      </c>
      <c r="F263" s="35">
        <f>55000*3</f>
        <v>165000</v>
      </c>
      <c r="G263" s="40">
        <f>50000*3</f>
        <v>150000</v>
      </c>
      <c r="H263" s="35">
        <v>0</v>
      </c>
      <c r="I263" s="35">
        <f t="shared" si="9"/>
        <v>150000</v>
      </c>
      <c r="J263" s="36">
        <f t="shared" si="10"/>
        <v>0</v>
      </c>
      <c r="K263" s="48" t="s">
        <v>37</v>
      </c>
      <c r="L263" s="48" t="s">
        <v>37</v>
      </c>
      <c r="M263" s="38">
        <v>41455</v>
      </c>
      <c r="N263" s="48" t="s">
        <v>64</v>
      </c>
      <c r="O263" s="35">
        <v>55000</v>
      </c>
      <c r="P263" s="35">
        <v>55000</v>
      </c>
      <c r="Q263" s="35">
        <v>55000</v>
      </c>
    </row>
    <row r="264" spans="1:17" s="15" customFormat="1" ht="26.25" customHeight="1" x14ac:dyDescent="0.2">
      <c r="A264" s="43" t="s">
        <v>815</v>
      </c>
      <c r="B264" s="46" t="s">
        <v>17</v>
      </c>
      <c r="C264" s="44" t="s">
        <v>839</v>
      </c>
      <c r="D264" s="34">
        <v>4110</v>
      </c>
      <c r="E264" s="46" t="s">
        <v>859</v>
      </c>
      <c r="F264" s="35">
        <f>33000*3</f>
        <v>99000</v>
      </c>
      <c r="G264" s="40">
        <f>33000*3</f>
        <v>99000</v>
      </c>
      <c r="H264" s="35">
        <v>0</v>
      </c>
      <c r="I264" s="35">
        <f t="shared" si="9"/>
        <v>99000</v>
      </c>
      <c r="J264" s="36">
        <f t="shared" si="10"/>
        <v>0</v>
      </c>
      <c r="K264" s="48" t="s">
        <v>37</v>
      </c>
      <c r="L264" s="48" t="s">
        <v>37</v>
      </c>
      <c r="M264" s="38">
        <v>41455</v>
      </c>
      <c r="N264" s="48" t="s">
        <v>64</v>
      </c>
      <c r="O264" s="35">
        <v>33000</v>
      </c>
      <c r="P264" s="35">
        <v>33000</v>
      </c>
      <c r="Q264" s="35">
        <v>33000</v>
      </c>
    </row>
    <row r="265" spans="1:17" s="15" customFormat="1" ht="18" customHeight="1" x14ac:dyDescent="0.2">
      <c r="A265" s="43" t="s">
        <v>871</v>
      </c>
      <c r="B265" s="46" t="s">
        <v>17</v>
      </c>
      <c r="C265" s="44" t="s">
        <v>879</v>
      </c>
      <c r="D265" s="34">
        <v>4750</v>
      </c>
      <c r="E265" s="46" t="s">
        <v>875</v>
      </c>
      <c r="F265" s="35">
        <v>10000</v>
      </c>
      <c r="G265" s="40">
        <v>10000</v>
      </c>
      <c r="H265" s="35">
        <v>0</v>
      </c>
      <c r="I265" s="35">
        <f t="shared" si="9"/>
        <v>10000</v>
      </c>
      <c r="J265" s="36">
        <f t="shared" si="10"/>
        <v>0</v>
      </c>
      <c r="K265" s="48" t="s">
        <v>37</v>
      </c>
      <c r="L265" s="48" t="s">
        <v>37</v>
      </c>
      <c r="M265" s="38">
        <v>41455</v>
      </c>
      <c r="N265" s="37"/>
      <c r="O265" s="35">
        <v>10000</v>
      </c>
      <c r="P265" s="35"/>
      <c r="Q265" s="35"/>
    </row>
    <row r="266" spans="1:17" s="15" customFormat="1" ht="26.25" customHeight="1" x14ac:dyDescent="0.2">
      <c r="A266" s="43" t="s">
        <v>886</v>
      </c>
      <c r="B266" s="46" t="s">
        <v>17</v>
      </c>
      <c r="C266" s="44" t="s">
        <v>797</v>
      </c>
      <c r="D266" s="34">
        <v>4107</v>
      </c>
      <c r="E266" s="46" t="s">
        <v>784</v>
      </c>
      <c r="F266" s="35">
        <f>32000*3</f>
        <v>96000</v>
      </c>
      <c r="G266" s="40">
        <f>32000*3</f>
        <v>96000</v>
      </c>
      <c r="H266" s="35">
        <v>0</v>
      </c>
      <c r="I266" s="35">
        <f t="shared" si="9"/>
        <v>96000</v>
      </c>
      <c r="J266" s="36">
        <f t="shared" si="10"/>
        <v>0</v>
      </c>
      <c r="K266" s="48" t="s">
        <v>37</v>
      </c>
      <c r="L266" s="48" t="s">
        <v>37</v>
      </c>
      <c r="M266" s="38">
        <v>41455</v>
      </c>
      <c r="N266" s="48" t="s">
        <v>64</v>
      </c>
      <c r="O266" s="35">
        <v>32000</v>
      </c>
      <c r="P266" s="35">
        <v>32000</v>
      </c>
      <c r="Q266" s="35">
        <v>32000</v>
      </c>
    </row>
    <row r="267" spans="1:17" s="15" customFormat="1" ht="26.25" customHeight="1" x14ac:dyDescent="0.2">
      <c r="A267" s="43" t="s">
        <v>887</v>
      </c>
      <c r="B267" s="46" t="s">
        <v>17</v>
      </c>
      <c r="C267" s="44" t="s">
        <v>891</v>
      </c>
      <c r="D267" s="34">
        <v>4680</v>
      </c>
      <c r="E267" s="46" t="s">
        <v>882</v>
      </c>
      <c r="F267" s="35">
        <v>12885</v>
      </c>
      <c r="G267" s="40">
        <v>12885</v>
      </c>
      <c r="H267" s="35">
        <v>0</v>
      </c>
      <c r="I267" s="35">
        <f t="shared" si="9"/>
        <v>12885</v>
      </c>
      <c r="J267" s="36">
        <f t="shared" si="10"/>
        <v>0</v>
      </c>
      <c r="K267" s="48" t="s">
        <v>37</v>
      </c>
      <c r="L267" s="48" t="s">
        <v>37</v>
      </c>
      <c r="M267" s="38">
        <v>41243</v>
      </c>
      <c r="N267" s="37"/>
      <c r="O267" s="35">
        <v>12885</v>
      </c>
      <c r="P267" s="35"/>
      <c r="Q267" s="35"/>
    </row>
    <row r="268" spans="1:17" s="15" customFormat="1" ht="26.25" customHeight="1" x14ac:dyDescent="0.2">
      <c r="A268" s="43" t="s">
        <v>889</v>
      </c>
      <c r="B268" s="46" t="s">
        <v>17</v>
      </c>
      <c r="C268" s="44" t="s">
        <v>112</v>
      </c>
      <c r="D268" s="34">
        <v>4746</v>
      </c>
      <c r="E268" s="46" t="s">
        <v>884</v>
      </c>
      <c r="F268" s="35">
        <v>29820</v>
      </c>
      <c r="G268" s="40">
        <v>10080</v>
      </c>
      <c r="H268" s="35">
        <f>10080+29820</f>
        <v>39900</v>
      </c>
      <c r="I268" s="35">
        <f t="shared" si="9"/>
        <v>49980</v>
      </c>
      <c r="J268" s="36">
        <f t="shared" si="10"/>
        <v>3.9583333333333335</v>
      </c>
      <c r="K268" s="48" t="s">
        <v>37</v>
      </c>
      <c r="L268" s="48" t="s">
        <v>37</v>
      </c>
      <c r="M268" s="38">
        <v>41455</v>
      </c>
      <c r="N268" s="48" t="s">
        <v>36</v>
      </c>
      <c r="O268" s="35">
        <v>29820</v>
      </c>
      <c r="P268" s="35"/>
      <c r="Q268" s="35"/>
    </row>
    <row r="269" spans="1:17" s="15" customFormat="1" ht="26.25" customHeight="1" x14ac:dyDescent="0.2">
      <c r="A269" s="43" t="s">
        <v>890</v>
      </c>
      <c r="B269" s="46" t="s">
        <v>17</v>
      </c>
      <c r="C269" s="44" t="s">
        <v>892</v>
      </c>
      <c r="D269" s="34">
        <v>4071</v>
      </c>
      <c r="E269" s="46" t="s">
        <v>885</v>
      </c>
      <c r="F269" s="35">
        <f>15000*3</f>
        <v>45000</v>
      </c>
      <c r="G269" s="40">
        <f>15000*3</f>
        <v>45000</v>
      </c>
      <c r="H269" s="35">
        <v>0</v>
      </c>
      <c r="I269" s="35">
        <f t="shared" si="9"/>
        <v>45000</v>
      </c>
      <c r="J269" s="36">
        <f t="shared" si="10"/>
        <v>0</v>
      </c>
      <c r="K269" s="48" t="s">
        <v>37</v>
      </c>
      <c r="L269" s="48" t="s">
        <v>37</v>
      </c>
      <c r="M269" s="38">
        <v>41455</v>
      </c>
      <c r="N269" s="48" t="s">
        <v>64</v>
      </c>
      <c r="O269" s="35">
        <v>15000</v>
      </c>
      <c r="P269" s="35">
        <v>15000</v>
      </c>
      <c r="Q269" s="35">
        <v>15000</v>
      </c>
    </row>
    <row r="270" spans="1:17" s="15" customFormat="1" ht="26.25" customHeight="1" x14ac:dyDescent="0.2">
      <c r="A270" s="43" t="s">
        <v>902</v>
      </c>
      <c r="B270" s="46" t="s">
        <v>17</v>
      </c>
      <c r="C270" s="44" t="s">
        <v>285</v>
      </c>
      <c r="D270" s="34">
        <v>4943</v>
      </c>
      <c r="E270" s="46" t="s">
        <v>917</v>
      </c>
      <c r="F270" s="35">
        <v>49000</v>
      </c>
      <c r="G270" s="40">
        <v>49000</v>
      </c>
      <c r="H270" s="35">
        <v>0</v>
      </c>
      <c r="I270" s="35">
        <f t="shared" si="9"/>
        <v>49000</v>
      </c>
      <c r="J270" s="36">
        <f t="shared" si="10"/>
        <v>0</v>
      </c>
      <c r="K270" s="48" t="s">
        <v>37</v>
      </c>
      <c r="L270" s="48" t="s">
        <v>37</v>
      </c>
      <c r="M270" s="38">
        <v>41455</v>
      </c>
      <c r="N270" s="37"/>
      <c r="O270" s="35">
        <v>49000</v>
      </c>
      <c r="P270" s="35"/>
      <c r="Q270" s="35"/>
    </row>
    <row r="271" spans="1:17" s="15" customFormat="1" ht="26.25" customHeight="1" x14ac:dyDescent="0.2">
      <c r="A271" s="43" t="s">
        <v>922</v>
      </c>
      <c r="B271" s="46" t="s">
        <v>17</v>
      </c>
      <c r="C271" s="44" t="s">
        <v>927</v>
      </c>
      <c r="D271" s="34">
        <v>5032</v>
      </c>
      <c r="E271" s="46" t="s">
        <v>932</v>
      </c>
      <c r="F271" s="35">
        <v>11690</v>
      </c>
      <c r="G271" s="40">
        <v>11690</v>
      </c>
      <c r="H271" s="35">
        <v>0</v>
      </c>
      <c r="I271" s="35">
        <f t="shared" si="9"/>
        <v>11690</v>
      </c>
      <c r="J271" s="36">
        <f t="shared" si="10"/>
        <v>0</v>
      </c>
      <c r="K271" s="48" t="s">
        <v>37</v>
      </c>
      <c r="L271" s="48" t="s">
        <v>37</v>
      </c>
      <c r="M271" s="38">
        <v>41455</v>
      </c>
      <c r="N271" s="37"/>
      <c r="O271" s="35">
        <v>11690</v>
      </c>
      <c r="P271" s="35"/>
      <c r="Q271" s="35"/>
    </row>
    <row r="272" spans="1:17" s="15" customFormat="1" ht="26.25" customHeight="1" x14ac:dyDescent="0.2">
      <c r="A272" s="43" t="s">
        <v>924</v>
      </c>
      <c r="B272" s="46" t="s">
        <v>17</v>
      </c>
      <c r="C272" s="44" t="s">
        <v>928</v>
      </c>
      <c r="D272" s="34">
        <v>5085</v>
      </c>
      <c r="E272" s="46" t="s">
        <v>933</v>
      </c>
      <c r="F272" s="35">
        <v>6761</v>
      </c>
      <c r="G272" s="40">
        <v>6761</v>
      </c>
      <c r="H272" s="35">
        <v>0</v>
      </c>
      <c r="I272" s="35">
        <f t="shared" si="9"/>
        <v>6761</v>
      </c>
      <c r="J272" s="36">
        <f t="shared" si="10"/>
        <v>0</v>
      </c>
      <c r="K272" s="48" t="s">
        <v>37</v>
      </c>
      <c r="L272" s="48" t="s">
        <v>37</v>
      </c>
      <c r="M272" s="38">
        <v>41364</v>
      </c>
      <c r="N272" s="37"/>
      <c r="O272" s="35">
        <v>6761</v>
      </c>
      <c r="P272" s="35"/>
      <c r="Q272" s="35"/>
    </row>
    <row r="273" spans="1:17" s="15" customFormat="1" ht="26.25" customHeight="1" x14ac:dyDescent="0.2">
      <c r="A273" s="43" t="s">
        <v>958</v>
      </c>
      <c r="B273" s="46" t="s">
        <v>17</v>
      </c>
      <c r="C273" s="44" t="s">
        <v>968</v>
      </c>
      <c r="D273" s="34">
        <v>5159</v>
      </c>
      <c r="E273" s="46" t="s">
        <v>963</v>
      </c>
      <c r="F273" s="35">
        <v>46900</v>
      </c>
      <c r="G273" s="40">
        <v>702341</v>
      </c>
      <c r="H273" s="35">
        <v>46900</v>
      </c>
      <c r="I273" s="35">
        <f t="shared" si="9"/>
        <v>749241</v>
      </c>
      <c r="J273" s="36">
        <f t="shared" si="10"/>
        <v>6.6776679704018418E-2</v>
      </c>
      <c r="K273" s="48" t="s">
        <v>37</v>
      </c>
      <c r="L273" s="48" t="s">
        <v>37</v>
      </c>
      <c r="M273" s="38">
        <v>41384</v>
      </c>
      <c r="N273" s="48" t="s">
        <v>36</v>
      </c>
      <c r="O273" s="35">
        <v>46900</v>
      </c>
      <c r="P273" s="35"/>
      <c r="Q273" s="35"/>
    </row>
    <row r="274" spans="1:17" s="15" customFormat="1" ht="26.25" customHeight="1" x14ac:dyDescent="0.2">
      <c r="A274" s="43" t="s">
        <v>970</v>
      </c>
      <c r="B274" s="46" t="s">
        <v>17</v>
      </c>
      <c r="C274" s="44" t="s">
        <v>974</v>
      </c>
      <c r="D274" s="34">
        <v>5000</v>
      </c>
      <c r="E274" s="46" t="s">
        <v>980</v>
      </c>
      <c r="F274" s="35">
        <v>16350</v>
      </c>
      <c r="G274" s="40">
        <v>16350</v>
      </c>
      <c r="H274" s="35">
        <v>0</v>
      </c>
      <c r="I274" s="35">
        <f t="shared" si="9"/>
        <v>16350</v>
      </c>
      <c r="J274" s="36">
        <f t="shared" si="10"/>
        <v>0</v>
      </c>
      <c r="K274" s="48" t="s">
        <v>42</v>
      </c>
      <c r="L274" s="48" t="s">
        <v>42</v>
      </c>
      <c r="M274" s="38">
        <v>41639</v>
      </c>
      <c r="N274" s="37"/>
      <c r="O274" s="35">
        <v>16350</v>
      </c>
      <c r="P274" s="35"/>
      <c r="Q274" s="35"/>
    </row>
    <row r="275" spans="1:17" s="15" customFormat="1" ht="26.25" customHeight="1" x14ac:dyDescent="0.2">
      <c r="A275" s="43" t="s">
        <v>972</v>
      </c>
      <c r="B275" s="46" t="s">
        <v>17</v>
      </c>
      <c r="C275" s="44" t="s">
        <v>976</v>
      </c>
      <c r="D275" s="34">
        <v>5130</v>
      </c>
      <c r="E275" s="46" t="s">
        <v>978</v>
      </c>
      <c r="F275" s="35">
        <v>4000</v>
      </c>
      <c r="G275" s="40">
        <v>25000</v>
      </c>
      <c r="H275" s="35">
        <v>4000</v>
      </c>
      <c r="I275" s="35">
        <f t="shared" si="9"/>
        <v>29000</v>
      </c>
      <c r="J275" s="36">
        <f t="shared" si="10"/>
        <v>0.16</v>
      </c>
      <c r="K275" s="48" t="s">
        <v>42</v>
      </c>
      <c r="L275" s="48" t="s">
        <v>37</v>
      </c>
      <c r="M275" s="38">
        <v>41364</v>
      </c>
      <c r="N275" s="48" t="s">
        <v>36</v>
      </c>
      <c r="O275" s="35">
        <v>4000</v>
      </c>
      <c r="P275" s="35"/>
      <c r="Q275" s="35"/>
    </row>
    <row r="276" spans="1:17" s="15" customFormat="1" ht="26.25" customHeight="1" x14ac:dyDescent="0.2">
      <c r="A276" s="43" t="s">
        <v>973</v>
      </c>
      <c r="B276" s="46" t="s">
        <v>17</v>
      </c>
      <c r="C276" s="44" t="s">
        <v>837</v>
      </c>
      <c r="D276" s="34">
        <v>5136</v>
      </c>
      <c r="E276" s="46" t="s">
        <v>979</v>
      </c>
      <c r="F276" s="35">
        <v>15700</v>
      </c>
      <c r="G276" s="40">
        <v>10000</v>
      </c>
      <c r="H276" s="35">
        <v>15700</v>
      </c>
      <c r="I276" s="35">
        <f t="shared" si="9"/>
        <v>25700</v>
      </c>
      <c r="J276" s="36">
        <f t="shared" si="10"/>
        <v>1.57</v>
      </c>
      <c r="K276" s="48" t="s">
        <v>37</v>
      </c>
      <c r="L276" s="48" t="s">
        <v>37</v>
      </c>
      <c r="M276" s="38">
        <v>41455</v>
      </c>
      <c r="N276" s="48" t="s">
        <v>36</v>
      </c>
      <c r="O276" s="35">
        <v>15700</v>
      </c>
      <c r="P276" s="35"/>
      <c r="Q276" s="35"/>
    </row>
    <row r="277" spans="1:17" s="15" customFormat="1" ht="26.25" customHeight="1" x14ac:dyDescent="0.2">
      <c r="A277" s="43" t="s">
        <v>984</v>
      </c>
      <c r="B277" s="46" t="s">
        <v>17</v>
      </c>
      <c r="C277" s="44" t="s">
        <v>85</v>
      </c>
      <c r="D277" s="34">
        <v>4942</v>
      </c>
      <c r="E277" s="46" t="s">
        <v>990</v>
      </c>
      <c r="F277" s="35">
        <v>49000</v>
      </c>
      <c r="G277" s="40">
        <v>49000</v>
      </c>
      <c r="H277" s="35">
        <v>0</v>
      </c>
      <c r="I277" s="35">
        <f t="shared" si="9"/>
        <v>49000</v>
      </c>
      <c r="J277" s="36">
        <f t="shared" si="10"/>
        <v>0</v>
      </c>
      <c r="K277" s="48" t="s">
        <v>37</v>
      </c>
      <c r="L277" s="48" t="s">
        <v>37</v>
      </c>
      <c r="M277" s="38">
        <v>41455</v>
      </c>
      <c r="N277" s="37"/>
      <c r="O277" s="35">
        <v>49000</v>
      </c>
      <c r="P277" s="35"/>
      <c r="Q277" s="35"/>
    </row>
    <row r="278" spans="1:17" s="15" customFormat="1" ht="18" customHeight="1" x14ac:dyDescent="0.2">
      <c r="A278" s="43" t="s">
        <v>995</v>
      </c>
      <c r="B278" s="46" t="s">
        <v>17</v>
      </c>
      <c r="C278" s="44" t="s">
        <v>999</v>
      </c>
      <c r="D278" s="34">
        <v>5160</v>
      </c>
      <c r="E278" s="46" t="s">
        <v>963</v>
      </c>
      <c r="F278" s="35">
        <v>92800</v>
      </c>
      <c r="G278" s="40">
        <v>1432649</v>
      </c>
      <c r="H278" s="35">
        <v>92800</v>
      </c>
      <c r="I278" s="35">
        <f t="shared" si="9"/>
        <v>1525449</v>
      </c>
      <c r="J278" s="36">
        <f t="shared" si="10"/>
        <v>6.4775112396686138E-2</v>
      </c>
      <c r="K278" s="48" t="s">
        <v>37</v>
      </c>
      <c r="L278" s="48" t="s">
        <v>37</v>
      </c>
      <c r="M278" s="38">
        <v>41384</v>
      </c>
      <c r="N278" s="48" t="s">
        <v>36</v>
      </c>
      <c r="O278" s="35">
        <v>92800</v>
      </c>
      <c r="P278" s="35"/>
      <c r="Q278" s="35"/>
    </row>
    <row r="279" spans="1:17" s="15" customFormat="1" ht="26.25" customHeight="1" x14ac:dyDescent="0.2">
      <c r="A279" s="43" t="s">
        <v>1038</v>
      </c>
      <c r="B279" s="46" t="s">
        <v>17</v>
      </c>
      <c r="C279" s="44" t="s">
        <v>839</v>
      </c>
      <c r="D279" s="34">
        <v>4851</v>
      </c>
      <c r="E279" s="46" t="s">
        <v>1045</v>
      </c>
      <c r="F279" s="35">
        <f>33000*3</f>
        <v>99000</v>
      </c>
      <c r="G279" s="40">
        <v>33000</v>
      </c>
      <c r="H279" s="35">
        <f>33000*3</f>
        <v>99000</v>
      </c>
      <c r="I279" s="35">
        <f t="shared" si="9"/>
        <v>132000</v>
      </c>
      <c r="J279" s="36">
        <f t="shared" si="10"/>
        <v>3</v>
      </c>
      <c r="K279" s="48" t="s">
        <v>37</v>
      </c>
      <c r="L279" s="48" t="s">
        <v>37</v>
      </c>
      <c r="M279" s="38">
        <v>41455</v>
      </c>
      <c r="N279" s="48" t="s">
        <v>64</v>
      </c>
      <c r="O279" s="35">
        <v>33000</v>
      </c>
      <c r="P279" s="35">
        <v>33000</v>
      </c>
      <c r="Q279" s="35">
        <v>33000</v>
      </c>
    </row>
    <row r="280" spans="1:17" s="15" customFormat="1" ht="26.25" customHeight="1" x14ac:dyDescent="0.2">
      <c r="A280" s="43" t="s">
        <v>1049</v>
      </c>
      <c r="B280" s="46" t="s">
        <v>17</v>
      </c>
      <c r="C280" s="44" t="s">
        <v>1054</v>
      </c>
      <c r="D280" s="34">
        <v>5294</v>
      </c>
      <c r="E280" s="46" t="s">
        <v>1056</v>
      </c>
      <c r="F280" s="35">
        <f>16332*3</f>
        <v>48996</v>
      </c>
      <c r="G280" s="40">
        <f>16332*3</f>
        <v>48996</v>
      </c>
      <c r="H280" s="35">
        <v>0</v>
      </c>
      <c r="I280" s="35">
        <f t="shared" si="9"/>
        <v>48996</v>
      </c>
      <c r="J280" s="36">
        <f t="shared" si="10"/>
        <v>0</v>
      </c>
      <c r="K280" s="48" t="s">
        <v>37</v>
      </c>
      <c r="L280" s="48" t="s">
        <v>37</v>
      </c>
      <c r="M280" s="38">
        <v>41726</v>
      </c>
      <c r="N280" s="48" t="s">
        <v>64</v>
      </c>
      <c r="O280" s="35">
        <v>16332</v>
      </c>
      <c r="P280" s="35">
        <v>16332</v>
      </c>
      <c r="Q280" s="35">
        <v>16332</v>
      </c>
    </row>
    <row r="281" spans="1:17" s="15" customFormat="1" ht="26.25" customHeight="1" x14ac:dyDescent="0.2">
      <c r="A281" s="43" t="s">
        <v>1080</v>
      </c>
      <c r="B281" s="46" t="s">
        <v>17</v>
      </c>
      <c r="C281" s="44" t="s">
        <v>1083</v>
      </c>
      <c r="D281" s="34">
        <v>4813</v>
      </c>
      <c r="E281" s="46" t="s">
        <v>1229</v>
      </c>
      <c r="F281" s="35">
        <f>94991*3</f>
        <v>284973</v>
      </c>
      <c r="G281" s="40">
        <f>94991*3</f>
        <v>284973</v>
      </c>
      <c r="H281" s="35">
        <v>0</v>
      </c>
      <c r="I281" s="35">
        <f t="shared" si="9"/>
        <v>284973</v>
      </c>
      <c r="J281" s="36">
        <f t="shared" si="10"/>
        <v>0</v>
      </c>
      <c r="K281" s="48" t="s">
        <v>42</v>
      </c>
      <c r="L281" s="48" t="s">
        <v>37</v>
      </c>
      <c r="M281" s="38">
        <v>41639</v>
      </c>
      <c r="N281" s="48" t="s">
        <v>64</v>
      </c>
      <c r="O281" s="35">
        <v>94991</v>
      </c>
      <c r="P281" s="35">
        <v>94991</v>
      </c>
      <c r="Q281" s="35">
        <v>94991</v>
      </c>
    </row>
    <row r="282" spans="1:17" s="15" customFormat="1" ht="26.25" customHeight="1" x14ac:dyDescent="0.2">
      <c r="A282" s="43" t="s">
        <v>1089</v>
      </c>
      <c r="B282" s="46" t="s">
        <v>17</v>
      </c>
      <c r="C282" s="44" t="s">
        <v>892</v>
      </c>
      <c r="D282" s="34">
        <v>5418</v>
      </c>
      <c r="E282" s="46" t="s">
        <v>1097</v>
      </c>
      <c r="F282" s="35">
        <f>9000*3</f>
        <v>27000</v>
      </c>
      <c r="G282" s="40">
        <f>9000*3</f>
        <v>27000</v>
      </c>
      <c r="H282" s="35">
        <v>0</v>
      </c>
      <c r="I282" s="35">
        <f t="shared" si="9"/>
        <v>27000</v>
      </c>
      <c r="J282" s="36">
        <f t="shared" si="10"/>
        <v>0</v>
      </c>
      <c r="K282" s="48" t="s">
        <v>37</v>
      </c>
      <c r="L282" s="48" t="s">
        <v>42</v>
      </c>
      <c r="M282" s="38">
        <v>41517</v>
      </c>
      <c r="N282" s="48" t="s">
        <v>64</v>
      </c>
      <c r="O282" s="35">
        <v>9000</v>
      </c>
      <c r="P282" s="35">
        <v>9000</v>
      </c>
      <c r="Q282" s="35">
        <v>9000</v>
      </c>
    </row>
    <row r="283" spans="1:17" s="15" customFormat="1" ht="26.25" customHeight="1" x14ac:dyDescent="0.2">
      <c r="A283" s="43" t="s">
        <v>1102</v>
      </c>
      <c r="B283" s="46" t="s">
        <v>17</v>
      </c>
      <c r="C283" s="44" t="s">
        <v>1111</v>
      </c>
      <c r="D283" s="34">
        <v>5393</v>
      </c>
      <c r="E283" s="46" t="s">
        <v>1117</v>
      </c>
      <c r="F283" s="35">
        <v>7000</v>
      </c>
      <c r="G283" s="40">
        <v>7000</v>
      </c>
      <c r="H283" s="35">
        <v>0</v>
      </c>
      <c r="I283" s="35">
        <f t="shared" si="9"/>
        <v>7000</v>
      </c>
      <c r="J283" s="36">
        <f t="shared" si="10"/>
        <v>0</v>
      </c>
      <c r="K283" s="48" t="s">
        <v>37</v>
      </c>
      <c r="L283" s="48" t="s">
        <v>42</v>
      </c>
      <c r="M283" s="38">
        <v>41362</v>
      </c>
      <c r="N283" s="48"/>
      <c r="O283" s="35">
        <v>7000</v>
      </c>
      <c r="P283" s="35"/>
      <c r="Q283" s="35"/>
    </row>
    <row r="284" spans="1:17" s="15" customFormat="1" ht="26.25" customHeight="1" x14ac:dyDescent="0.2">
      <c r="A284" s="43" t="s">
        <v>1109</v>
      </c>
      <c r="B284" s="46" t="s">
        <v>17</v>
      </c>
      <c r="C284" s="44" t="s">
        <v>1114</v>
      </c>
      <c r="D284" s="34">
        <v>5508</v>
      </c>
      <c r="E284" s="46" t="s">
        <v>1124</v>
      </c>
      <c r="F284" s="35">
        <v>21000</v>
      </c>
      <c r="G284" s="40">
        <v>21000</v>
      </c>
      <c r="H284" s="35">
        <v>0</v>
      </c>
      <c r="I284" s="35">
        <f t="shared" si="9"/>
        <v>21000</v>
      </c>
      <c r="J284" s="36">
        <f t="shared" si="10"/>
        <v>0</v>
      </c>
      <c r="K284" s="48" t="s">
        <v>42</v>
      </c>
      <c r="L284" s="48" t="s">
        <v>37</v>
      </c>
      <c r="M284" s="38">
        <v>41341</v>
      </c>
      <c r="N284" s="48"/>
      <c r="O284" s="35">
        <v>21000</v>
      </c>
      <c r="P284" s="35"/>
      <c r="Q284" s="35"/>
    </row>
    <row r="285" spans="1:17" s="15" customFormat="1" ht="26.25" customHeight="1" x14ac:dyDescent="0.2">
      <c r="A285" s="43" t="s">
        <v>1133</v>
      </c>
      <c r="B285" s="46" t="s">
        <v>17</v>
      </c>
      <c r="C285" s="44" t="s">
        <v>1138</v>
      </c>
      <c r="D285" s="34">
        <v>5583</v>
      </c>
      <c r="E285" s="46" t="s">
        <v>1140</v>
      </c>
      <c r="F285" s="35">
        <f>40320*2</f>
        <v>80640</v>
      </c>
      <c r="G285" s="40">
        <f>40320*2</f>
        <v>80640</v>
      </c>
      <c r="H285" s="35">
        <v>0</v>
      </c>
      <c r="I285" s="35">
        <f t="shared" si="9"/>
        <v>80640</v>
      </c>
      <c r="J285" s="36">
        <f t="shared" si="10"/>
        <v>0</v>
      </c>
      <c r="K285" s="48" t="s">
        <v>37</v>
      </c>
      <c r="L285" s="48" t="s">
        <v>42</v>
      </c>
      <c r="M285" s="38">
        <v>41759</v>
      </c>
      <c r="N285" s="48" t="s">
        <v>64</v>
      </c>
      <c r="O285" s="35">
        <v>40320</v>
      </c>
      <c r="P285" s="35">
        <v>40320</v>
      </c>
      <c r="Q285" s="35"/>
    </row>
    <row r="286" spans="1:17" s="15" customFormat="1" ht="26.25" customHeight="1" x14ac:dyDescent="0.2">
      <c r="A286" s="43" t="s">
        <v>1256</v>
      </c>
      <c r="B286" s="46" t="s">
        <v>17</v>
      </c>
      <c r="C286" s="44" t="s">
        <v>797</v>
      </c>
      <c r="D286" s="47" t="s">
        <v>1258</v>
      </c>
      <c r="E286" s="46" t="s">
        <v>1260</v>
      </c>
      <c r="F286" s="49">
        <f>30000*3</f>
        <v>90000</v>
      </c>
      <c r="G286" s="40">
        <v>32000</v>
      </c>
      <c r="H286" s="35">
        <f>32000+30000*3</f>
        <v>122000</v>
      </c>
      <c r="I286" s="35">
        <f t="shared" si="9"/>
        <v>154000</v>
      </c>
      <c r="J286" s="36">
        <f t="shared" si="10"/>
        <v>3.8125</v>
      </c>
      <c r="K286" s="48" t="s">
        <v>37</v>
      </c>
      <c r="L286" s="48" t="s">
        <v>37</v>
      </c>
      <c r="M286" s="38">
        <v>41455</v>
      </c>
      <c r="N286" s="48" t="s">
        <v>64</v>
      </c>
      <c r="O286" s="35">
        <v>30000</v>
      </c>
      <c r="P286" s="35">
        <v>30000</v>
      </c>
      <c r="Q286" s="35">
        <v>30000</v>
      </c>
    </row>
    <row r="287" spans="1:17" s="15" customFormat="1" ht="26.25" customHeight="1" x14ac:dyDescent="0.2">
      <c r="A287" s="43" t="s">
        <v>1257</v>
      </c>
      <c r="B287" s="46" t="s">
        <v>17</v>
      </c>
      <c r="C287" s="44" t="s">
        <v>968</v>
      </c>
      <c r="D287" s="47" t="s">
        <v>1259</v>
      </c>
      <c r="E287" s="46" t="s">
        <v>963</v>
      </c>
      <c r="F287" s="35">
        <v>46900</v>
      </c>
      <c r="G287" s="40">
        <v>702341</v>
      </c>
      <c r="H287" s="35">
        <f>46900+46900</f>
        <v>93800</v>
      </c>
      <c r="I287" s="35">
        <f t="shared" si="9"/>
        <v>796141</v>
      </c>
      <c r="J287" s="36">
        <f t="shared" si="10"/>
        <v>0.13355335940803684</v>
      </c>
      <c r="K287" s="48" t="s">
        <v>37</v>
      </c>
      <c r="L287" s="48" t="s">
        <v>37</v>
      </c>
      <c r="M287" s="38">
        <v>41493</v>
      </c>
      <c r="N287" s="48" t="s">
        <v>36</v>
      </c>
      <c r="O287" s="35">
        <v>46900</v>
      </c>
      <c r="P287" s="35"/>
      <c r="Q287" s="35"/>
    </row>
    <row r="288" spans="1:17" s="15" customFormat="1" ht="26.25" customHeight="1" x14ac:dyDescent="0.2">
      <c r="A288" s="43" t="s">
        <v>1325</v>
      </c>
      <c r="B288" s="46" t="s">
        <v>17</v>
      </c>
      <c r="C288" s="44" t="s">
        <v>1330</v>
      </c>
      <c r="D288" s="47">
        <v>5892</v>
      </c>
      <c r="E288" s="46" t="s">
        <v>1337</v>
      </c>
      <c r="F288" s="35">
        <v>48000</v>
      </c>
      <c r="G288" s="40">
        <v>48000</v>
      </c>
      <c r="H288" s="35">
        <v>0</v>
      </c>
      <c r="I288" s="35">
        <f t="shared" si="9"/>
        <v>48000</v>
      </c>
      <c r="J288" s="36">
        <f t="shared" si="10"/>
        <v>0</v>
      </c>
      <c r="K288" s="48" t="s">
        <v>37</v>
      </c>
      <c r="L288" s="48" t="s">
        <v>37</v>
      </c>
      <c r="M288" s="38">
        <v>41455</v>
      </c>
      <c r="N288" s="48"/>
      <c r="O288" s="35">
        <v>48000</v>
      </c>
      <c r="P288" s="35"/>
      <c r="Q288" s="35"/>
    </row>
    <row r="289" spans="1:17" s="15" customFormat="1" ht="26.25" customHeight="1" x14ac:dyDescent="0.2">
      <c r="A289" s="43" t="s">
        <v>1366</v>
      </c>
      <c r="B289" s="46" t="s">
        <v>17</v>
      </c>
      <c r="C289" s="44" t="s">
        <v>1368</v>
      </c>
      <c r="D289" s="34">
        <v>6171</v>
      </c>
      <c r="E289" s="46" t="s">
        <v>1371</v>
      </c>
      <c r="F289" s="35">
        <v>77754</v>
      </c>
      <c r="G289" s="40">
        <v>77754</v>
      </c>
      <c r="H289" s="35">
        <v>0</v>
      </c>
      <c r="I289" s="35">
        <f t="shared" si="9"/>
        <v>77754</v>
      </c>
      <c r="J289" s="36">
        <f t="shared" si="10"/>
        <v>0</v>
      </c>
      <c r="K289" s="48" t="s">
        <v>37</v>
      </c>
      <c r="L289" s="48" t="s">
        <v>42</v>
      </c>
      <c r="M289" s="38">
        <v>41517</v>
      </c>
      <c r="N289" s="48"/>
      <c r="O289" s="49">
        <v>77754</v>
      </c>
      <c r="P289" s="35"/>
      <c r="Q289" s="35"/>
    </row>
    <row r="290" spans="1:17" s="15" customFormat="1" ht="26.25" customHeight="1" x14ac:dyDescent="0.2">
      <c r="A290" s="43" t="s">
        <v>802</v>
      </c>
      <c r="B290" s="46" t="s">
        <v>825</v>
      </c>
      <c r="C290" s="44" t="s">
        <v>826</v>
      </c>
      <c r="D290" s="34">
        <v>4065</v>
      </c>
      <c r="E290" s="46" t="s">
        <v>848</v>
      </c>
      <c r="F290" s="35">
        <f>35000*3</f>
        <v>105000</v>
      </c>
      <c r="G290" s="40">
        <f>35000*3</f>
        <v>105000</v>
      </c>
      <c r="H290" s="35">
        <v>0</v>
      </c>
      <c r="I290" s="35">
        <f t="shared" si="9"/>
        <v>105000</v>
      </c>
      <c r="J290" s="36">
        <f t="shared" si="10"/>
        <v>0</v>
      </c>
      <c r="K290" s="48" t="s">
        <v>37</v>
      </c>
      <c r="L290" s="48" t="s">
        <v>37</v>
      </c>
      <c r="M290" s="38">
        <v>41455</v>
      </c>
      <c r="N290" s="48" t="s">
        <v>64</v>
      </c>
      <c r="O290" s="35">
        <v>35000</v>
      </c>
      <c r="P290" s="35">
        <v>35000</v>
      </c>
      <c r="Q290" s="35">
        <v>35000</v>
      </c>
    </row>
    <row r="291" spans="1:17" s="15" customFormat="1" ht="26.25" customHeight="1" x14ac:dyDescent="0.2">
      <c r="A291" s="43" t="s">
        <v>803</v>
      </c>
      <c r="B291" s="46" t="s">
        <v>825</v>
      </c>
      <c r="C291" s="44" t="s">
        <v>827</v>
      </c>
      <c r="D291" s="34">
        <v>4067</v>
      </c>
      <c r="E291" s="46" t="s">
        <v>849</v>
      </c>
      <c r="F291" s="35">
        <f>35000*3</f>
        <v>105000</v>
      </c>
      <c r="G291" s="40">
        <f>35000*3</f>
        <v>105000</v>
      </c>
      <c r="H291" s="35">
        <v>0</v>
      </c>
      <c r="I291" s="35">
        <f t="shared" si="9"/>
        <v>105000</v>
      </c>
      <c r="J291" s="36">
        <f t="shared" si="10"/>
        <v>0</v>
      </c>
      <c r="K291" s="48" t="s">
        <v>37</v>
      </c>
      <c r="L291" s="48" t="s">
        <v>42</v>
      </c>
      <c r="M291" s="38">
        <v>41455</v>
      </c>
      <c r="N291" s="48" t="s">
        <v>64</v>
      </c>
      <c r="O291" s="35">
        <v>35000</v>
      </c>
      <c r="P291" s="35">
        <v>35000</v>
      </c>
      <c r="Q291" s="35">
        <v>35000</v>
      </c>
    </row>
    <row r="292" spans="1:17" s="15" customFormat="1" ht="26.25" customHeight="1" x14ac:dyDescent="0.2">
      <c r="A292" s="43" t="s">
        <v>804</v>
      </c>
      <c r="B292" s="46" t="s">
        <v>825</v>
      </c>
      <c r="C292" s="44" t="s">
        <v>828</v>
      </c>
      <c r="D292" s="34">
        <v>4069</v>
      </c>
      <c r="E292" s="46" t="s">
        <v>850</v>
      </c>
      <c r="F292" s="35">
        <f>15000*3</f>
        <v>45000</v>
      </c>
      <c r="G292" s="40">
        <f>15000*3</f>
        <v>45000</v>
      </c>
      <c r="H292" s="35">
        <v>0</v>
      </c>
      <c r="I292" s="35">
        <f t="shared" si="9"/>
        <v>45000</v>
      </c>
      <c r="J292" s="36">
        <f t="shared" si="10"/>
        <v>0</v>
      </c>
      <c r="K292" s="48" t="s">
        <v>37</v>
      </c>
      <c r="L292" s="48" t="s">
        <v>37</v>
      </c>
      <c r="M292" s="38">
        <v>41455</v>
      </c>
      <c r="N292" s="48" t="s">
        <v>64</v>
      </c>
      <c r="O292" s="35">
        <v>15000</v>
      </c>
      <c r="P292" s="35">
        <v>15000</v>
      </c>
      <c r="Q292" s="35">
        <v>15000</v>
      </c>
    </row>
    <row r="293" spans="1:17" s="15" customFormat="1" ht="26.25" customHeight="1" x14ac:dyDescent="0.2">
      <c r="A293" s="43" t="s">
        <v>805</v>
      </c>
      <c r="B293" s="46" t="s">
        <v>825</v>
      </c>
      <c r="C293" s="44" t="s">
        <v>829</v>
      </c>
      <c r="D293" s="34">
        <v>4076</v>
      </c>
      <c r="E293" s="46" t="s">
        <v>851</v>
      </c>
      <c r="F293" s="35">
        <f>20000*3</f>
        <v>60000</v>
      </c>
      <c r="G293" s="40">
        <f>20000*3</f>
        <v>60000</v>
      </c>
      <c r="H293" s="35">
        <v>0</v>
      </c>
      <c r="I293" s="35">
        <f t="shared" si="9"/>
        <v>60000</v>
      </c>
      <c r="J293" s="36">
        <f t="shared" si="10"/>
        <v>0</v>
      </c>
      <c r="K293" s="48" t="s">
        <v>37</v>
      </c>
      <c r="L293" s="48" t="s">
        <v>37</v>
      </c>
      <c r="M293" s="38">
        <v>41455</v>
      </c>
      <c r="N293" s="48" t="s">
        <v>64</v>
      </c>
      <c r="O293" s="35">
        <v>20000</v>
      </c>
      <c r="P293" s="35">
        <v>20000</v>
      </c>
      <c r="Q293" s="35">
        <v>20000</v>
      </c>
    </row>
    <row r="294" spans="1:17" s="15" customFormat="1" ht="26.25" customHeight="1" x14ac:dyDescent="0.2">
      <c r="A294" s="43" t="s">
        <v>806</v>
      </c>
      <c r="B294" s="46" t="s">
        <v>825</v>
      </c>
      <c r="C294" s="44" t="s">
        <v>830</v>
      </c>
      <c r="D294" s="34">
        <v>4077</v>
      </c>
      <c r="E294" s="46" t="s">
        <v>852</v>
      </c>
      <c r="F294" s="35">
        <f>25000*3</f>
        <v>75000</v>
      </c>
      <c r="G294" s="40">
        <f>25000*3</f>
        <v>75000</v>
      </c>
      <c r="H294" s="35">
        <v>0</v>
      </c>
      <c r="I294" s="35">
        <f t="shared" si="9"/>
        <v>75000</v>
      </c>
      <c r="J294" s="36">
        <f t="shared" si="10"/>
        <v>0</v>
      </c>
      <c r="K294" s="48" t="s">
        <v>37</v>
      </c>
      <c r="L294" s="48" t="s">
        <v>37</v>
      </c>
      <c r="M294" s="38">
        <v>41455</v>
      </c>
      <c r="N294" s="48" t="s">
        <v>64</v>
      </c>
      <c r="O294" s="35">
        <v>25000</v>
      </c>
      <c r="P294" s="35">
        <v>25000</v>
      </c>
      <c r="Q294" s="35">
        <v>25000</v>
      </c>
    </row>
    <row r="295" spans="1:17" s="15" customFormat="1" ht="26.25" customHeight="1" x14ac:dyDescent="0.2">
      <c r="A295" s="43" t="s">
        <v>807</v>
      </c>
      <c r="B295" s="46" t="s">
        <v>825</v>
      </c>
      <c r="C295" s="44" t="s">
        <v>831</v>
      </c>
      <c r="D295" s="34">
        <v>4097</v>
      </c>
      <c r="E295" s="46" t="s">
        <v>853</v>
      </c>
      <c r="F295" s="35">
        <f t="shared" ref="F295:G297" si="11">15000*3</f>
        <v>45000</v>
      </c>
      <c r="G295" s="40">
        <f t="shared" si="11"/>
        <v>45000</v>
      </c>
      <c r="H295" s="35">
        <v>0</v>
      </c>
      <c r="I295" s="35">
        <f t="shared" si="9"/>
        <v>45000</v>
      </c>
      <c r="J295" s="36">
        <f t="shared" si="10"/>
        <v>0</v>
      </c>
      <c r="K295" s="48" t="s">
        <v>37</v>
      </c>
      <c r="L295" s="48" t="s">
        <v>37</v>
      </c>
      <c r="M295" s="38">
        <v>41455</v>
      </c>
      <c r="N295" s="48" t="s">
        <v>64</v>
      </c>
      <c r="O295" s="35">
        <v>15000</v>
      </c>
      <c r="P295" s="35">
        <v>15000</v>
      </c>
      <c r="Q295" s="35">
        <v>15000</v>
      </c>
    </row>
    <row r="296" spans="1:17" s="15" customFormat="1" ht="26.25" customHeight="1" x14ac:dyDescent="0.2">
      <c r="A296" s="43" t="s">
        <v>808</v>
      </c>
      <c r="B296" s="46" t="s">
        <v>825</v>
      </c>
      <c r="C296" s="44" t="s">
        <v>832</v>
      </c>
      <c r="D296" s="34">
        <v>4099</v>
      </c>
      <c r="E296" s="46" t="s">
        <v>854</v>
      </c>
      <c r="F296" s="35">
        <f t="shared" si="11"/>
        <v>45000</v>
      </c>
      <c r="G296" s="40">
        <f t="shared" si="11"/>
        <v>45000</v>
      </c>
      <c r="H296" s="35">
        <v>0</v>
      </c>
      <c r="I296" s="35">
        <f t="shared" si="9"/>
        <v>45000</v>
      </c>
      <c r="J296" s="36">
        <f t="shared" si="10"/>
        <v>0</v>
      </c>
      <c r="K296" s="48" t="s">
        <v>37</v>
      </c>
      <c r="L296" s="48" t="s">
        <v>37</v>
      </c>
      <c r="M296" s="38">
        <v>41455</v>
      </c>
      <c r="N296" s="48" t="s">
        <v>64</v>
      </c>
      <c r="O296" s="35">
        <v>15000</v>
      </c>
      <c r="P296" s="35">
        <v>15000</v>
      </c>
      <c r="Q296" s="35">
        <v>15000</v>
      </c>
    </row>
    <row r="297" spans="1:17" s="15" customFormat="1" ht="26.25" customHeight="1" x14ac:dyDescent="0.2">
      <c r="A297" s="43" t="s">
        <v>809</v>
      </c>
      <c r="B297" s="46" t="s">
        <v>825</v>
      </c>
      <c r="C297" s="44" t="s">
        <v>833</v>
      </c>
      <c r="D297" s="34">
        <v>4100</v>
      </c>
      <c r="E297" s="46" t="s">
        <v>855</v>
      </c>
      <c r="F297" s="35">
        <f t="shared" si="11"/>
        <v>45000</v>
      </c>
      <c r="G297" s="40">
        <f t="shared" si="11"/>
        <v>45000</v>
      </c>
      <c r="H297" s="35">
        <v>0</v>
      </c>
      <c r="I297" s="35">
        <f t="shared" si="9"/>
        <v>45000</v>
      </c>
      <c r="J297" s="36">
        <f t="shared" si="10"/>
        <v>0</v>
      </c>
      <c r="K297" s="48" t="s">
        <v>37</v>
      </c>
      <c r="L297" s="48" t="s">
        <v>37</v>
      </c>
      <c r="M297" s="38">
        <v>41455</v>
      </c>
      <c r="N297" s="48" t="s">
        <v>64</v>
      </c>
      <c r="O297" s="35">
        <v>15000</v>
      </c>
      <c r="P297" s="35">
        <v>15000</v>
      </c>
      <c r="Q297" s="35">
        <v>15000</v>
      </c>
    </row>
    <row r="298" spans="1:17" s="15" customFormat="1" ht="26.25" customHeight="1" x14ac:dyDescent="0.2">
      <c r="A298" s="43" t="s">
        <v>810</v>
      </c>
      <c r="B298" s="46" t="s">
        <v>825</v>
      </c>
      <c r="C298" s="44" t="s">
        <v>834</v>
      </c>
      <c r="D298" s="34">
        <v>4101</v>
      </c>
      <c r="E298" s="46" t="s">
        <v>856</v>
      </c>
      <c r="F298" s="35">
        <f>25000*3</f>
        <v>75000</v>
      </c>
      <c r="G298" s="40">
        <f>25000*3</f>
        <v>75000</v>
      </c>
      <c r="H298" s="35">
        <v>0</v>
      </c>
      <c r="I298" s="35">
        <f t="shared" si="9"/>
        <v>75000</v>
      </c>
      <c r="J298" s="36">
        <f t="shared" si="10"/>
        <v>0</v>
      </c>
      <c r="K298" s="48" t="s">
        <v>37</v>
      </c>
      <c r="L298" s="48" t="s">
        <v>37</v>
      </c>
      <c r="M298" s="38">
        <v>41455</v>
      </c>
      <c r="N298" s="48" t="s">
        <v>64</v>
      </c>
      <c r="O298" s="35">
        <v>25000</v>
      </c>
      <c r="P298" s="35">
        <v>25000</v>
      </c>
      <c r="Q298" s="35">
        <v>25000</v>
      </c>
    </row>
    <row r="299" spans="1:17" s="15" customFormat="1" ht="26.25" customHeight="1" x14ac:dyDescent="0.2">
      <c r="A299" s="43" t="s">
        <v>811</v>
      </c>
      <c r="B299" s="46" t="s">
        <v>825</v>
      </c>
      <c r="C299" s="44" t="s">
        <v>835</v>
      </c>
      <c r="D299" s="34">
        <v>4102</v>
      </c>
      <c r="E299" s="46" t="s">
        <v>857</v>
      </c>
      <c r="F299" s="35">
        <f>15000*3</f>
        <v>45000</v>
      </c>
      <c r="G299" s="40">
        <f>15000*3</f>
        <v>45000</v>
      </c>
      <c r="H299" s="35">
        <v>0</v>
      </c>
      <c r="I299" s="35">
        <f t="shared" si="9"/>
        <v>45000</v>
      </c>
      <c r="J299" s="36">
        <f t="shared" si="10"/>
        <v>0</v>
      </c>
      <c r="K299" s="48" t="s">
        <v>37</v>
      </c>
      <c r="L299" s="48" t="s">
        <v>37</v>
      </c>
      <c r="M299" s="38">
        <v>41455</v>
      </c>
      <c r="N299" s="48" t="s">
        <v>64</v>
      </c>
      <c r="O299" s="35">
        <v>15000</v>
      </c>
      <c r="P299" s="35">
        <v>15000</v>
      </c>
      <c r="Q299" s="35">
        <v>15000</v>
      </c>
    </row>
    <row r="300" spans="1:17" s="15" customFormat="1" ht="26.25" customHeight="1" x14ac:dyDescent="0.2">
      <c r="A300" s="43" t="s">
        <v>812</v>
      </c>
      <c r="B300" s="46" t="s">
        <v>825</v>
      </c>
      <c r="C300" s="44" t="s">
        <v>836</v>
      </c>
      <c r="D300" s="34">
        <v>4103</v>
      </c>
      <c r="E300" s="46" t="s">
        <v>858</v>
      </c>
      <c r="F300" s="35">
        <f>15000*3</f>
        <v>45000</v>
      </c>
      <c r="G300" s="40">
        <f>15000*3</f>
        <v>45000</v>
      </c>
      <c r="H300" s="35">
        <v>0</v>
      </c>
      <c r="I300" s="35">
        <f t="shared" si="9"/>
        <v>45000</v>
      </c>
      <c r="J300" s="36">
        <f t="shared" si="10"/>
        <v>0</v>
      </c>
      <c r="K300" s="48" t="s">
        <v>37</v>
      </c>
      <c r="L300" s="48" t="s">
        <v>37</v>
      </c>
      <c r="M300" s="38">
        <v>41455</v>
      </c>
      <c r="N300" s="48" t="s">
        <v>64</v>
      </c>
      <c r="O300" s="35">
        <v>15000</v>
      </c>
      <c r="P300" s="35">
        <v>15000</v>
      </c>
      <c r="Q300" s="35">
        <v>15000</v>
      </c>
    </row>
    <row r="301" spans="1:17" s="15" customFormat="1" ht="38.25" customHeight="1" x14ac:dyDescent="0.2">
      <c r="A301" s="43" t="s">
        <v>813</v>
      </c>
      <c r="B301" s="46" t="s">
        <v>825</v>
      </c>
      <c r="C301" s="44" t="s">
        <v>837</v>
      </c>
      <c r="D301" s="34">
        <v>4104</v>
      </c>
      <c r="E301" s="46" t="s">
        <v>868</v>
      </c>
      <c r="F301" s="35">
        <f>10000*3</f>
        <v>30000</v>
      </c>
      <c r="G301" s="40">
        <f>10000*3</f>
        <v>30000</v>
      </c>
      <c r="H301" s="35">
        <v>0</v>
      </c>
      <c r="I301" s="35">
        <f t="shared" si="9"/>
        <v>30000</v>
      </c>
      <c r="J301" s="36">
        <f t="shared" si="10"/>
        <v>0</v>
      </c>
      <c r="K301" s="48" t="s">
        <v>37</v>
      </c>
      <c r="L301" s="48" t="s">
        <v>37</v>
      </c>
      <c r="M301" s="38">
        <v>41455</v>
      </c>
      <c r="N301" s="48" t="s">
        <v>64</v>
      </c>
      <c r="O301" s="35">
        <v>10000</v>
      </c>
      <c r="P301" s="35">
        <v>10000</v>
      </c>
      <c r="Q301" s="35">
        <v>10000</v>
      </c>
    </row>
    <row r="302" spans="1:17" s="15" customFormat="1" ht="38.25" customHeight="1" x14ac:dyDescent="0.2">
      <c r="A302" s="43" t="s">
        <v>814</v>
      </c>
      <c r="B302" s="46" t="s">
        <v>825</v>
      </c>
      <c r="C302" s="44" t="s">
        <v>838</v>
      </c>
      <c r="D302" s="34">
        <v>4106</v>
      </c>
      <c r="E302" s="46" t="s">
        <v>868</v>
      </c>
      <c r="F302" s="35">
        <f>25000*3</f>
        <v>75000</v>
      </c>
      <c r="G302" s="40">
        <f>25000*3</f>
        <v>75000</v>
      </c>
      <c r="H302" s="35">
        <v>0</v>
      </c>
      <c r="I302" s="35">
        <f t="shared" si="9"/>
        <v>75000</v>
      </c>
      <c r="J302" s="36">
        <f t="shared" si="10"/>
        <v>0</v>
      </c>
      <c r="K302" s="48" t="s">
        <v>37</v>
      </c>
      <c r="L302" s="48" t="s">
        <v>37</v>
      </c>
      <c r="M302" s="38">
        <v>41455</v>
      </c>
      <c r="N302" s="48" t="s">
        <v>64</v>
      </c>
      <c r="O302" s="35">
        <v>25000</v>
      </c>
      <c r="P302" s="35">
        <v>25000</v>
      </c>
      <c r="Q302" s="35">
        <v>25000</v>
      </c>
    </row>
    <row r="303" spans="1:17" s="15" customFormat="1" ht="38.25" customHeight="1" x14ac:dyDescent="0.2">
      <c r="A303" s="43" t="s">
        <v>816</v>
      </c>
      <c r="B303" s="46" t="s">
        <v>825</v>
      </c>
      <c r="C303" s="44" t="s">
        <v>840</v>
      </c>
      <c r="D303" s="34">
        <v>4463</v>
      </c>
      <c r="E303" s="46" t="s">
        <v>867</v>
      </c>
      <c r="F303" s="35">
        <f>20000*3</f>
        <v>60000</v>
      </c>
      <c r="G303" s="40">
        <f>20000*3</f>
        <v>60000</v>
      </c>
      <c r="H303" s="35">
        <v>0</v>
      </c>
      <c r="I303" s="35">
        <f t="shared" si="9"/>
        <v>60000</v>
      </c>
      <c r="J303" s="36">
        <f t="shared" si="10"/>
        <v>0</v>
      </c>
      <c r="K303" s="48" t="s">
        <v>37</v>
      </c>
      <c r="L303" s="48" t="s">
        <v>37</v>
      </c>
      <c r="M303" s="38">
        <v>41455</v>
      </c>
      <c r="N303" s="48" t="s">
        <v>64</v>
      </c>
      <c r="O303" s="35">
        <v>20000</v>
      </c>
      <c r="P303" s="35">
        <v>20000</v>
      </c>
      <c r="Q303" s="35">
        <v>20000</v>
      </c>
    </row>
    <row r="304" spans="1:17" s="15" customFormat="1" ht="26.25" customHeight="1" x14ac:dyDescent="0.2">
      <c r="A304" s="43" t="s">
        <v>817</v>
      </c>
      <c r="B304" s="46" t="s">
        <v>825</v>
      </c>
      <c r="C304" s="44" t="s">
        <v>841</v>
      </c>
      <c r="D304" s="34">
        <v>4464</v>
      </c>
      <c r="E304" s="46" t="s">
        <v>853</v>
      </c>
      <c r="F304" s="35">
        <f>12000*3</f>
        <v>36000</v>
      </c>
      <c r="G304" s="40">
        <f>12000*3</f>
        <v>36000</v>
      </c>
      <c r="H304" s="35">
        <v>0</v>
      </c>
      <c r="I304" s="35">
        <f t="shared" si="9"/>
        <v>36000</v>
      </c>
      <c r="J304" s="36">
        <f t="shared" si="10"/>
        <v>0</v>
      </c>
      <c r="K304" s="48" t="s">
        <v>37</v>
      </c>
      <c r="L304" s="48" t="s">
        <v>37</v>
      </c>
      <c r="M304" s="38">
        <v>41455</v>
      </c>
      <c r="N304" s="48" t="s">
        <v>64</v>
      </c>
      <c r="O304" s="35">
        <v>12000</v>
      </c>
      <c r="P304" s="35">
        <v>12000</v>
      </c>
      <c r="Q304" s="35">
        <v>12000</v>
      </c>
    </row>
    <row r="305" spans="1:17" s="15" customFormat="1" ht="26.25" customHeight="1" x14ac:dyDescent="0.2">
      <c r="A305" s="43" t="s">
        <v>818</v>
      </c>
      <c r="B305" s="46" t="s">
        <v>825</v>
      </c>
      <c r="C305" s="44" t="s">
        <v>842</v>
      </c>
      <c r="D305" s="34">
        <v>4465</v>
      </c>
      <c r="E305" s="46" t="s">
        <v>866</v>
      </c>
      <c r="F305" s="35">
        <f>20000*3</f>
        <v>60000</v>
      </c>
      <c r="G305" s="40">
        <f>20000*3</f>
        <v>60000</v>
      </c>
      <c r="H305" s="35">
        <v>0</v>
      </c>
      <c r="I305" s="35">
        <f t="shared" si="9"/>
        <v>60000</v>
      </c>
      <c r="J305" s="36">
        <f t="shared" si="10"/>
        <v>0</v>
      </c>
      <c r="K305" s="48" t="s">
        <v>37</v>
      </c>
      <c r="L305" s="48" t="s">
        <v>37</v>
      </c>
      <c r="M305" s="38">
        <v>41455</v>
      </c>
      <c r="N305" s="48" t="s">
        <v>64</v>
      </c>
      <c r="O305" s="35">
        <v>20000</v>
      </c>
      <c r="P305" s="35">
        <v>20000</v>
      </c>
      <c r="Q305" s="35">
        <v>20000</v>
      </c>
    </row>
    <row r="306" spans="1:17" s="15" customFormat="1" ht="26.25" customHeight="1" x14ac:dyDescent="0.2">
      <c r="A306" s="43" t="s">
        <v>819</v>
      </c>
      <c r="B306" s="46" t="s">
        <v>825</v>
      </c>
      <c r="C306" s="44" t="s">
        <v>98</v>
      </c>
      <c r="D306" s="34">
        <v>4897</v>
      </c>
      <c r="E306" s="46" t="s">
        <v>865</v>
      </c>
      <c r="F306" s="35">
        <f>48000*3</f>
        <v>144000</v>
      </c>
      <c r="G306" s="40">
        <f>48000*3</f>
        <v>144000</v>
      </c>
      <c r="H306" s="35">
        <v>0</v>
      </c>
      <c r="I306" s="35">
        <f t="shared" si="9"/>
        <v>144000</v>
      </c>
      <c r="J306" s="36">
        <f t="shared" si="10"/>
        <v>0</v>
      </c>
      <c r="K306" s="48" t="s">
        <v>37</v>
      </c>
      <c r="L306" s="48" t="s">
        <v>37</v>
      </c>
      <c r="M306" s="38">
        <v>41578</v>
      </c>
      <c r="N306" s="48" t="s">
        <v>64</v>
      </c>
      <c r="O306" s="35">
        <v>48000</v>
      </c>
      <c r="P306" s="35">
        <v>48000</v>
      </c>
      <c r="Q306" s="35">
        <v>48000</v>
      </c>
    </row>
    <row r="307" spans="1:17" s="15" customFormat="1" ht="26.25" customHeight="1" x14ac:dyDescent="0.2">
      <c r="A307" s="43" t="s">
        <v>821</v>
      </c>
      <c r="B307" s="46" t="s">
        <v>825</v>
      </c>
      <c r="C307" s="44" t="s">
        <v>844</v>
      </c>
      <c r="D307" s="34">
        <v>4941</v>
      </c>
      <c r="E307" s="46" t="s">
        <v>861</v>
      </c>
      <c r="F307" s="35">
        <f>10000*3</f>
        <v>30000</v>
      </c>
      <c r="G307" s="40">
        <f>10000*3</f>
        <v>30000</v>
      </c>
      <c r="H307" s="35">
        <v>0</v>
      </c>
      <c r="I307" s="35">
        <f t="shared" si="9"/>
        <v>30000</v>
      </c>
      <c r="J307" s="36">
        <f t="shared" si="10"/>
        <v>0</v>
      </c>
      <c r="K307" s="48" t="s">
        <v>37</v>
      </c>
      <c r="L307" s="48" t="s">
        <v>37</v>
      </c>
      <c r="M307" s="38">
        <v>41455</v>
      </c>
      <c r="N307" s="48" t="s">
        <v>64</v>
      </c>
      <c r="O307" s="35">
        <v>10000</v>
      </c>
      <c r="P307" s="35">
        <v>10000</v>
      </c>
      <c r="Q307" s="35">
        <v>10000</v>
      </c>
    </row>
    <row r="308" spans="1:17" s="15" customFormat="1" ht="26.25" customHeight="1" x14ac:dyDescent="0.2">
      <c r="A308" s="43" t="s">
        <v>822</v>
      </c>
      <c r="B308" s="46" t="s">
        <v>825</v>
      </c>
      <c r="C308" s="44" t="s">
        <v>845</v>
      </c>
      <c r="D308" s="34">
        <v>4944</v>
      </c>
      <c r="E308" s="46" t="s">
        <v>864</v>
      </c>
      <c r="F308" s="35">
        <f>35000*3</f>
        <v>105000</v>
      </c>
      <c r="G308" s="40">
        <f>35000*3</f>
        <v>105000</v>
      </c>
      <c r="H308" s="35">
        <v>0</v>
      </c>
      <c r="I308" s="35">
        <f t="shared" si="9"/>
        <v>105000</v>
      </c>
      <c r="J308" s="36">
        <f t="shared" si="10"/>
        <v>0</v>
      </c>
      <c r="K308" s="48" t="s">
        <v>37</v>
      </c>
      <c r="L308" s="48" t="s">
        <v>37</v>
      </c>
      <c r="M308" s="38">
        <v>41455</v>
      </c>
      <c r="N308" s="48" t="s">
        <v>64</v>
      </c>
      <c r="O308" s="35">
        <v>35000</v>
      </c>
      <c r="P308" s="35">
        <v>35000</v>
      </c>
      <c r="Q308" s="35">
        <v>35000</v>
      </c>
    </row>
    <row r="309" spans="1:17" s="15" customFormat="1" ht="26.25" customHeight="1" x14ac:dyDescent="0.2">
      <c r="A309" s="43" t="s">
        <v>823</v>
      </c>
      <c r="B309" s="46" t="s">
        <v>825</v>
      </c>
      <c r="C309" s="44" t="s">
        <v>846</v>
      </c>
      <c r="D309" s="34">
        <v>4946</v>
      </c>
      <c r="E309" s="46" t="s">
        <v>863</v>
      </c>
      <c r="F309" s="35">
        <f>20000*3</f>
        <v>60000</v>
      </c>
      <c r="G309" s="40">
        <f>20000*3</f>
        <v>60000</v>
      </c>
      <c r="H309" s="35">
        <v>0</v>
      </c>
      <c r="I309" s="35">
        <f t="shared" si="9"/>
        <v>60000</v>
      </c>
      <c r="J309" s="36">
        <f t="shared" si="10"/>
        <v>0</v>
      </c>
      <c r="K309" s="48" t="s">
        <v>37</v>
      </c>
      <c r="L309" s="48" t="s">
        <v>37</v>
      </c>
      <c r="M309" s="38">
        <v>41455</v>
      </c>
      <c r="N309" s="48" t="s">
        <v>64</v>
      </c>
      <c r="O309" s="35">
        <v>20000</v>
      </c>
      <c r="P309" s="35">
        <v>20000</v>
      </c>
      <c r="Q309" s="35">
        <v>20000</v>
      </c>
    </row>
    <row r="310" spans="1:17" s="15" customFormat="1" ht="26.25" customHeight="1" x14ac:dyDescent="0.2">
      <c r="A310" s="43" t="s">
        <v>1146</v>
      </c>
      <c r="B310" s="46" t="s">
        <v>825</v>
      </c>
      <c r="C310" s="44" t="s">
        <v>845</v>
      </c>
      <c r="D310" s="34">
        <v>5573</v>
      </c>
      <c r="E310" s="46" t="s">
        <v>1158</v>
      </c>
      <c r="F310" s="35">
        <f>55000+55000+55000</f>
        <v>165000</v>
      </c>
      <c r="G310" s="40">
        <f>35000</f>
        <v>35000</v>
      </c>
      <c r="H310" s="35">
        <f>55000*3</f>
        <v>165000</v>
      </c>
      <c r="I310" s="35">
        <f t="shared" si="9"/>
        <v>200000</v>
      </c>
      <c r="J310" s="36">
        <f t="shared" si="10"/>
        <v>4.7142857142857144</v>
      </c>
      <c r="K310" s="48" t="s">
        <v>37</v>
      </c>
      <c r="L310" s="48" t="s">
        <v>37</v>
      </c>
      <c r="M310" s="38">
        <v>41455</v>
      </c>
      <c r="N310" s="48" t="s">
        <v>64</v>
      </c>
      <c r="O310" s="35">
        <v>55000</v>
      </c>
      <c r="P310" s="35">
        <v>55000</v>
      </c>
      <c r="Q310" s="35">
        <v>55000</v>
      </c>
    </row>
    <row r="311" spans="1:17" s="15" customFormat="1" ht="26.25" customHeight="1" x14ac:dyDescent="0.2">
      <c r="A311" s="43" t="s">
        <v>1126</v>
      </c>
      <c r="B311" s="46" t="s">
        <v>1128</v>
      </c>
      <c r="C311" s="44" t="s">
        <v>309</v>
      </c>
      <c r="D311" s="34">
        <v>5468</v>
      </c>
      <c r="E311" s="46" t="s">
        <v>1131</v>
      </c>
      <c r="F311" s="35">
        <v>76500</v>
      </c>
      <c r="G311" s="40">
        <v>76500</v>
      </c>
      <c r="H311" s="35">
        <v>0</v>
      </c>
      <c r="I311" s="35">
        <f t="shared" si="9"/>
        <v>76500</v>
      </c>
      <c r="J311" s="36">
        <f t="shared" si="10"/>
        <v>0</v>
      </c>
      <c r="K311" s="48" t="s">
        <v>37</v>
      </c>
      <c r="L311" s="48" t="s">
        <v>37</v>
      </c>
      <c r="M311" s="38">
        <v>41578</v>
      </c>
      <c r="N311" s="48"/>
      <c r="O311" s="35">
        <v>76500</v>
      </c>
      <c r="P311" s="35"/>
      <c r="Q311" s="35"/>
    </row>
    <row r="312" spans="1:17" s="15" customFormat="1" ht="26.25" customHeight="1" x14ac:dyDescent="0.2">
      <c r="A312" s="43" t="s">
        <v>1159</v>
      </c>
      <c r="B312" s="46" t="s">
        <v>1128</v>
      </c>
      <c r="C312" s="44" t="s">
        <v>60</v>
      </c>
      <c r="D312" s="47" t="s">
        <v>1165</v>
      </c>
      <c r="E312" s="46" t="s">
        <v>1168</v>
      </c>
      <c r="F312" s="35">
        <v>6000</v>
      </c>
      <c r="G312" s="40">
        <v>10000</v>
      </c>
      <c r="H312" s="35">
        <v>6000</v>
      </c>
      <c r="I312" s="35">
        <f t="shared" si="9"/>
        <v>16000</v>
      </c>
      <c r="J312" s="36">
        <f t="shared" si="10"/>
        <v>0.6</v>
      </c>
      <c r="K312" s="48" t="s">
        <v>37</v>
      </c>
      <c r="L312" s="48" t="s">
        <v>37</v>
      </c>
      <c r="M312" s="38">
        <v>41333</v>
      </c>
      <c r="N312" s="48" t="s">
        <v>36</v>
      </c>
      <c r="O312" s="35">
        <v>6000</v>
      </c>
      <c r="P312" s="35"/>
      <c r="Q312" s="35"/>
    </row>
    <row r="313" spans="1:17" s="15" customFormat="1" ht="26.25" customHeight="1" x14ac:dyDescent="0.2">
      <c r="A313" s="43" t="s">
        <v>1375</v>
      </c>
      <c r="B313" s="46" t="s">
        <v>1128</v>
      </c>
      <c r="C313" s="44" t="s">
        <v>1378</v>
      </c>
      <c r="D313" s="47" t="s">
        <v>1381</v>
      </c>
      <c r="E313" s="46" t="s">
        <v>1384</v>
      </c>
      <c r="F313" s="35">
        <v>13915</v>
      </c>
      <c r="G313" s="40">
        <v>13915</v>
      </c>
      <c r="H313" s="35">
        <v>0</v>
      </c>
      <c r="I313" s="35">
        <f t="shared" si="9"/>
        <v>13915</v>
      </c>
      <c r="J313" s="36">
        <f t="shared" si="10"/>
        <v>0</v>
      </c>
      <c r="K313" s="48" t="s">
        <v>37</v>
      </c>
      <c r="L313" s="48" t="s">
        <v>37</v>
      </c>
      <c r="M313" s="38">
        <v>41455</v>
      </c>
      <c r="N313" s="48"/>
      <c r="O313" s="49">
        <v>13915</v>
      </c>
      <c r="P313" s="35"/>
      <c r="Q313" s="35"/>
    </row>
    <row r="314" spans="1:17" s="15" customFormat="1" ht="26.25" customHeight="1" x14ac:dyDescent="0.2">
      <c r="A314" s="43" t="s">
        <v>126</v>
      </c>
      <c r="B314" s="45" t="s">
        <v>48</v>
      </c>
      <c r="C314" s="45" t="s">
        <v>57</v>
      </c>
      <c r="D314" s="54" t="s">
        <v>131</v>
      </c>
      <c r="E314" s="46" t="s">
        <v>128</v>
      </c>
      <c r="F314" s="41">
        <v>45000</v>
      </c>
      <c r="G314" s="41">
        <v>24000</v>
      </c>
      <c r="H314" s="42">
        <f>24000+45000</f>
        <v>69000</v>
      </c>
      <c r="I314" s="35">
        <f t="shared" si="9"/>
        <v>93000</v>
      </c>
      <c r="J314" s="36">
        <f t="shared" si="10"/>
        <v>2.875</v>
      </c>
      <c r="K314" s="48" t="s">
        <v>37</v>
      </c>
      <c r="L314" s="48" t="s">
        <v>37</v>
      </c>
      <c r="M314" s="38">
        <v>41455</v>
      </c>
      <c r="N314" s="48" t="s">
        <v>36</v>
      </c>
      <c r="O314" s="41">
        <v>45000</v>
      </c>
      <c r="P314" s="41"/>
      <c r="Q314" s="41"/>
    </row>
    <row r="315" spans="1:17" s="15" customFormat="1" ht="26.25" customHeight="1" x14ac:dyDescent="0.2">
      <c r="A315" s="43" t="s">
        <v>160</v>
      </c>
      <c r="B315" s="46" t="s">
        <v>48</v>
      </c>
      <c r="C315" s="44" t="s">
        <v>60</v>
      </c>
      <c r="D315" s="47">
        <v>4020</v>
      </c>
      <c r="E315" s="46" t="s">
        <v>188</v>
      </c>
      <c r="F315" s="49">
        <v>10000</v>
      </c>
      <c r="G315" s="50">
        <v>10000</v>
      </c>
      <c r="H315" s="49">
        <v>0</v>
      </c>
      <c r="I315" s="49">
        <f t="shared" si="9"/>
        <v>10000</v>
      </c>
      <c r="J315" s="51">
        <f t="shared" si="10"/>
        <v>0</v>
      </c>
      <c r="K315" s="48" t="s">
        <v>37</v>
      </c>
      <c r="L315" s="48" t="s">
        <v>37</v>
      </c>
      <c r="M315" s="52">
        <v>41274</v>
      </c>
      <c r="N315" s="48"/>
      <c r="O315" s="41">
        <v>10000</v>
      </c>
      <c r="P315" s="41"/>
      <c r="Q315" s="41"/>
    </row>
    <row r="316" spans="1:17" s="15" customFormat="1" ht="26.25" customHeight="1" x14ac:dyDescent="0.2">
      <c r="A316" s="43" t="s">
        <v>161</v>
      </c>
      <c r="B316" s="46" t="s">
        <v>48</v>
      </c>
      <c r="C316" s="44" t="s">
        <v>58</v>
      </c>
      <c r="D316" s="47">
        <v>4028</v>
      </c>
      <c r="E316" s="46" t="s">
        <v>189</v>
      </c>
      <c r="F316" s="49">
        <v>20000</v>
      </c>
      <c r="G316" s="50">
        <v>49500</v>
      </c>
      <c r="H316" s="49">
        <f>12000+14000+20000+4000+20000</f>
        <v>70000</v>
      </c>
      <c r="I316" s="49">
        <f t="shared" si="9"/>
        <v>119500</v>
      </c>
      <c r="J316" s="51">
        <f t="shared" si="10"/>
        <v>1.4141414141414141</v>
      </c>
      <c r="K316" s="48" t="s">
        <v>37</v>
      </c>
      <c r="L316" s="48" t="s">
        <v>37</v>
      </c>
      <c r="M316" s="52">
        <v>41182</v>
      </c>
      <c r="N316" s="48" t="s">
        <v>36</v>
      </c>
      <c r="O316" s="41">
        <v>20000</v>
      </c>
      <c r="P316" s="41"/>
      <c r="Q316" s="41"/>
    </row>
    <row r="317" spans="1:17" s="15" customFormat="1" ht="26.25" customHeight="1" x14ac:dyDescent="0.2">
      <c r="A317" s="43" t="s">
        <v>163</v>
      </c>
      <c r="B317" s="46" t="s">
        <v>48</v>
      </c>
      <c r="C317" s="44" t="s">
        <v>22</v>
      </c>
      <c r="D317" s="47">
        <v>4034</v>
      </c>
      <c r="E317" s="46" t="s">
        <v>191</v>
      </c>
      <c r="F317" s="49">
        <f>10000*3</f>
        <v>30000</v>
      </c>
      <c r="G317" s="50">
        <f>10000*3</f>
        <v>30000</v>
      </c>
      <c r="H317" s="49">
        <v>0</v>
      </c>
      <c r="I317" s="49">
        <f t="shared" si="9"/>
        <v>30000</v>
      </c>
      <c r="J317" s="51">
        <f t="shared" si="10"/>
        <v>0</v>
      </c>
      <c r="K317" s="48" t="s">
        <v>37</v>
      </c>
      <c r="L317" s="48" t="s">
        <v>37</v>
      </c>
      <c r="M317" s="52">
        <v>41455</v>
      </c>
      <c r="N317" s="48" t="s">
        <v>64</v>
      </c>
      <c r="O317" s="41">
        <v>10000</v>
      </c>
      <c r="P317" s="41">
        <v>10000</v>
      </c>
      <c r="Q317" s="41">
        <v>10000</v>
      </c>
    </row>
    <row r="318" spans="1:17" s="15" customFormat="1" ht="26.25" customHeight="1" x14ac:dyDescent="0.2">
      <c r="A318" s="43" t="s">
        <v>164</v>
      </c>
      <c r="B318" s="46" t="s">
        <v>48</v>
      </c>
      <c r="C318" s="44" t="s">
        <v>108</v>
      </c>
      <c r="D318" s="34">
        <v>4036</v>
      </c>
      <c r="E318" s="46" t="s">
        <v>192</v>
      </c>
      <c r="F318" s="35">
        <v>23100</v>
      </c>
      <c r="G318" s="40">
        <v>23100</v>
      </c>
      <c r="H318" s="35">
        <v>0</v>
      </c>
      <c r="I318" s="35">
        <f t="shared" si="9"/>
        <v>23100</v>
      </c>
      <c r="J318" s="36">
        <f t="shared" si="10"/>
        <v>0</v>
      </c>
      <c r="K318" s="48" t="s">
        <v>37</v>
      </c>
      <c r="L318" s="48" t="s">
        <v>37</v>
      </c>
      <c r="M318" s="38">
        <v>41379</v>
      </c>
      <c r="N318" s="37"/>
      <c r="O318" s="41">
        <v>23100</v>
      </c>
      <c r="P318" s="41"/>
      <c r="Q318" s="41"/>
    </row>
    <row r="319" spans="1:17" s="15" customFormat="1" ht="26.25" customHeight="1" x14ac:dyDescent="0.2">
      <c r="A319" s="43" t="s">
        <v>165</v>
      </c>
      <c r="B319" s="46" t="s">
        <v>48</v>
      </c>
      <c r="C319" s="44" t="s">
        <v>96</v>
      </c>
      <c r="D319" s="34">
        <v>4043</v>
      </c>
      <c r="E319" s="46" t="s">
        <v>193</v>
      </c>
      <c r="F319" s="35">
        <v>9688</v>
      </c>
      <c r="G319" s="40">
        <v>9688</v>
      </c>
      <c r="H319" s="35">
        <v>0</v>
      </c>
      <c r="I319" s="35">
        <f t="shared" si="9"/>
        <v>9688</v>
      </c>
      <c r="J319" s="36">
        <f t="shared" si="10"/>
        <v>0</v>
      </c>
      <c r="K319" s="48" t="s">
        <v>37</v>
      </c>
      <c r="L319" s="48" t="s">
        <v>37</v>
      </c>
      <c r="M319" s="38">
        <v>41455</v>
      </c>
      <c r="N319" s="37"/>
      <c r="O319" s="41">
        <v>9688</v>
      </c>
      <c r="P319" s="41"/>
      <c r="Q319" s="41"/>
    </row>
    <row r="320" spans="1:17" s="15" customFormat="1" ht="26.25" customHeight="1" x14ac:dyDescent="0.2">
      <c r="A320" s="43" t="s">
        <v>302</v>
      </c>
      <c r="B320" s="46" t="s">
        <v>48</v>
      </c>
      <c r="C320" s="44" t="s">
        <v>309</v>
      </c>
      <c r="D320" s="34">
        <v>3983</v>
      </c>
      <c r="E320" s="46" t="s">
        <v>315</v>
      </c>
      <c r="F320" s="35">
        <v>2500</v>
      </c>
      <c r="G320" s="40">
        <v>70000</v>
      </c>
      <c r="H320" s="35">
        <v>2500</v>
      </c>
      <c r="I320" s="35">
        <f t="shared" ref="I320:I383" si="12">G320+H320</f>
        <v>72500</v>
      </c>
      <c r="J320" s="36">
        <f t="shared" ref="J320:J383" si="13">IF(G320=0,100%,(I320-G320)/G320)</f>
        <v>3.5714285714285712E-2</v>
      </c>
      <c r="K320" s="48" t="s">
        <v>37</v>
      </c>
      <c r="L320" s="56" t="s">
        <v>37</v>
      </c>
      <c r="M320" s="38">
        <v>41090</v>
      </c>
      <c r="N320" s="48" t="s">
        <v>36</v>
      </c>
      <c r="O320" s="41">
        <v>2500</v>
      </c>
      <c r="P320" s="41"/>
      <c r="Q320" s="41"/>
    </row>
    <row r="321" spans="1:17" s="15" customFormat="1" ht="26.25" customHeight="1" x14ac:dyDescent="0.2">
      <c r="A321" s="43" t="s">
        <v>303</v>
      </c>
      <c r="B321" s="46" t="s">
        <v>48</v>
      </c>
      <c r="C321" s="44" t="s">
        <v>104</v>
      </c>
      <c r="D321" s="34">
        <v>3982</v>
      </c>
      <c r="E321" s="46" t="s">
        <v>314</v>
      </c>
      <c r="F321" s="35">
        <v>3200</v>
      </c>
      <c r="G321" s="40">
        <v>17500</v>
      </c>
      <c r="H321" s="35">
        <f>10000+3200</f>
        <v>13200</v>
      </c>
      <c r="I321" s="35">
        <f t="shared" si="12"/>
        <v>30700</v>
      </c>
      <c r="J321" s="36">
        <f t="shared" si="13"/>
        <v>0.75428571428571434</v>
      </c>
      <c r="K321" s="48" t="s">
        <v>37</v>
      </c>
      <c r="L321" s="48" t="s">
        <v>37</v>
      </c>
      <c r="M321" s="38">
        <v>41090</v>
      </c>
      <c r="N321" s="48" t="s">
        <v>36</v>
      </c>
      <c r="O321" s="41">
        <v>3200</v>
      </c>
      <c r="P321" s="41"/>
      <c r="Q321" s="41"/>
    </row>
    <row r="322" spans="1:17" s="15" customFormat="1" ht="38.25" customHeight="1" x14ac:dyDescent="0.2">
      <c r="A322" s="43" t="s">
        <v>304</v>
      </c>
      <c r="B322" s="46" t="s">
        <v>48</v>
      </c>
      <c r="C322" s="44" t="s">
        <v>310</v>
      </c>
      <c r="D322" s="47">
        <v>4266</v>
      </c>
      <c r="E322" s="46" t="s">
        <v>316</v>
      </c>
      <c r="F322" s="35">
        <v>39819</v>
      </c>
      <c r="G322" s="40">
        <v>39819</v>
      </c>
      <c r="H322" s="35">
        <v>0</v>
      </c>
      <c r="I322" s="35">
        <f t="shared" si="12"/>
        <v>39819</v>
      </c>
      <c r="J322" s="36">
        <f t="shared" si="13"/>
        <v>0</v>
      </c>
      <c r="K322" s="48" t="s">
        <v>37</v>
      </c>
      <c r="L322" s="48" t="s">
        <v>37</v>
      </c>
      <c r="M322" s="38">
        <v>41182</v>
      </c>
      <c r="N322" s="48"/>
      <c r="O322" s="41">
        <v>39819</v>
      </c>
      <c r="P322" s="41"/>
      <c r="Q322" s="41"/>
    </row>
    <row r="323" spans="1:17" s="15" customFormat="1" ht="26.25" customHeight="1" x14ac:dyDescent="0.2">
      <c r="A323" s="43" t="s">
        <v>448</v>
      </c>
      <c r="B323" s="46" t="s">
        <v>48</v>
      </c>
      <c r="C323" s="44" t="s">
        <v>460</v>
      </c>
      <c r="D323" s="47">
        <v>4297</v>
      </c>
      <c r="E323" s="46" t="s">
        <v>474</v>
      </c>
      <c r="F323" s="35">
        <f>24000*3</f>
        <v>72000</v>
      </c>
      <c r="G323" s="40">
        <f>24000*3</f>
        <v>72000</v>
      </c>
      <c r="H323" s="35">
        <v>0</v>
      </c>
      <c r="I323" s="35">
        <f t="shared" si="12"/>
        <v>72000</v>
      </c>
      <c r="J323" s="36">
        <f t="shared" si="13"/>
        <v>0</v>
      </c>
      <c r="K323" s="48" t="s">
        <v>37</v>
      </c>
      <c r="L323" s="48" t="s">
        <v>37</v>
      </c>
      <c r="M323" s="38">
        <v>41455</v>
      </c>
      <c r="N323" s="48" t="s">
        <v>64</v>
      </c>
      <c r="O323" s="41">
        <v>24000</v>
      </c>
      <c r="P323" s="41">
        <v>24000</v>
      </c>
      <c r="Q323" s="41">
        <v>24000</v>
      </c>
    </row>
    <row r="324" spans="1:17" s="15" customFormat="1" ht="26.25" customHeight="1" x14ac:dyDescent="0.2">
      <c r="A324" s="43" t="s">
        <v>533</v>
      </c>
      <c r="B324" s="46" t="s">
        <v>48</v>
      </c>
      <c r="C324" s="44" t="s">
        <v>53</v>
      </c>
      <c r="D324" s="47">
        <v>4485</v>
      </c>
      <c r="E324" s="46" t="s">
        <v>564</v>
      </c>
      <c r="F324" s="35">
        <v>13535</v>
      </c>
      <c r="G324" s="40">
        <v>13535</v>
      </c>
      <c r="H324" s="35">
        <v>0</v>
      </c>
      <c r="I324" s="35">
        <f t="shared" si="12"/>
        <v>13535</v>
      </c>
      <c r="J324" s="36">
        <f t="shared" si="13"/>
        <v>0</v>
      </c>
      <c r="K324" s="48" t="s">
        <v>37</v>
      </c>
      <c r="L324" s="48" t="s">
        <v>37</v>
      </c>
      <c r="M324" s="38">
        <v>41455</v>
      </c>
      <c r="N324" s="48"/>
      <c r="O324" s="41">
        <v>13535</v>
      </c>
      <c r="P324" s="41"/>
      <c r="Q324" s="41"/>
    </row>
    <row r="325" spans="1:17" s="15" customFormat="1" ht="26.25" customHeight="1" x14ac:dyDescent="0.2">
      <c r="A325" s="43" t="s">
        <v>659</v>
      </c>
      <c r="B325" s="46" t="s">
        <v>48</v>
      </c>
      <c r="C325" s="44" t="s">
        <v>121</v>
      </c>
      <c r="D325" s="34">
        <v>4520</v>
      </c>
      <c r="E325" s="46" t="s">
        <v>678</v>
      </c>
      <c r="F325" s="35">
        <v>6181</v>
      </c>
      <c r="G325" s="40">
        <v>6181</v>
      </c>
      <c r="H325" s="35">
        <v>0</v>
      </c>
      <c r="I325" s="35">
        <f t="shared" si="12"/>
        <v>6181</v>
      </c>
      <c r="J325" s="36">
        <f t="shared" si="13"/>
        <v>0</v>
      </c>
      <c r="K325" s="48" t="s">
        <v>37</v>
      </c>
      <c r="L325" s="48" t="s">
        <v>37</v>
      </c>
      <c r="M325" s="38">
        <v>41182</v>
      </c>
      <c r="N325" s="48"/>
      <c r="O325" s="35">
        <v>6181</v>
      </c>
      <c r="P325" s="35"/>
      <c r="Q325" s="35"/>
    </row>
    <row r="326" spans="1:17" s="15" customFormat="1" ht="26.25" customHeight="1" x14ac:dyDescent="0.2">
      <c r="A326" s="43" t="s">
        <v>635</v>
      </c>
      <c r="B326" s="46" t="s">
        <v>48</v>
      </c>
      <c r="C326" s="44" t="s">
        <v>642</v>
      </c>
      <c r="D326" s="34">
        <v>4655</v>
      </c>
      <c r="E326" s="46" t="s">
        <v>647</v>
      </c>
      <c r="F326" s="35">
        <v>8527</v>
      </c>
      <c r="G326" s="40">
        <v>8527</v>
      </c>
      <c r="H326" s="35">
        <v>0</v>
      </c>
      <c r="I326" s="35">
        <f t="shared" si="12"/>
        <v>8527</v>
      </c>
      <c r="J326" s="36">
        <f t="shared" si="13"/>
        <v>0</v>
      </c>
      <c r="K326" s="48" t="s">
        <v>37</v>
      </c>
      <c r="L326" s="48" t="s">
        <v>42</v>
      </c>
      <c r="M326" s="38">
        <v>41547</v>
      </c>
      <c r="N326" s="37"/>
      <c r="O326" s="35">
        <v>8527</v>
      </c>
      <c r="P326" s="35"/>
      <c r="Q326" s="35"/>
    </row>
    <row r="327" spans="1:17" s="15" customFormat="1" ht="26.25" customHeight="1" x14ac:dyDescent="0.2">
      <c r="A327" s="43" t="s">
        <v>637</v>
      </c>
      <c r="B327" s="46" t="s">
        <v>48</v>
      </c>
      <c r="C327" s="44" t="s">
        <v>644</v>
      </c>
      <c r="D327" s="34">
        <v>4665</v>
      </c>
      <c r="E327" s="46" t="s">
        <v>649</v>
      </c>
      <c r="F327" s="35">
        <v>15000</v>
      </c>
      <c r="G327" s="40">
        <v>15000</v>
      </c>
      <c r="H327" s="35">
        <v>0</v>
      </c>
      <c r="I327" s="35">
        <f t="shared" si="12"/>
        <v>15000</v>
      </c>
      <c r="J327" s="36">
        <f t="shared" si="13"/>
        <v>0</v>
      </c>
      <c r="K327" s="48" t="s">
        <v>37</v>
      </c>
      <c r="L327" s="48" t="s">
        <v>37</v>
      </c>
      <c r="M327" s="38">
        <v>41274</v>
      </c>
      <c r="N327" s="37"/>
      <c r="O327" s="35">
        <v>15000</v>
      </c>
      <c r="P327" s="35"/>
      <c r="Q327" s="35"/>
    </row>
    <row r="328" spans="1:17" s="15" customFormat="1" ht="26.25" customHeight="1" x14ac:dyDescent="0.2">
      <c r="A328" s="43" t="s">
        <v>638</v>
      </c>
      <c r="B328" s="46" t="s">
        <v>48</v>
      </c>
      <c r="C328" s="44" t="s">
        <v>645</v>
      </c>
      <c r="D328" s="34">
        <v>4667</v>
      </c>
      <c r="E328" s="46" t="s">
        <v>650</v>
      </c>
      <c r="F328" s="35">
        <v>20000</v>
      </c>
      <c r="G328" s="40">
        <v>20000</v>
      </c>
      <c r="H328" s="35">
        <v>0</v>
      </c>
      <c r="I328" s="35">
        <f t="shared" si="12"/>
        <v>20000</v>
      </c>
      <c r="J328" s="36">
        <f t="shared" si="13"/>
        <v>0</v>
      </c>
      <c r="K328" s="48" t="s">
        <v>37</v>
      </c>
      <c r="L328" s="48" t="s">
        <v>37</v>
      </c>
      <c r="M328" s="38">
        <v>41364</v>
      </c>
      <c r="N328" s="37"/>
      <c r="O328" s="35">
        <v>20000</v>
      </c>
      <c r="P328" s="35"/>
      <c r="Q328" s="35"/>
    </row>
    <row r="329" spans="1:17" s="15" customFormat="1" ht="26.25" customHeight="1" x14ac:dyDescent="0.2">
      <c r="A329" s="43" t="s">
        <v>694</v>
      </c>
      <c r="B329" s="46" t="s">
        <v>48</v>
      </c>
      <c r="C329" s="44" t="s">
        <v>104</v>
      </c>
      <c r="D329" s="34">
        <v>4687</v>
      </c>
      <c r="E329" s="46" t="s">
        <v>706</v>
      </c>
      <c r="F329" s="35">
        <v>27500</v>
      </c>
      <c r="G329" s="40">
        <v>27500</v>
      </c>
      <c r="H329" s="35">
        <v>0</v>
      </c>
      <c r="I329" s="35">
        <f t="shared" si="12"/>
        <v>27500</v>
      </c>
      <c r="J329" s="36">
        <f t="shared" si="13"/>
        <v>0</v>
      </c>
      <c r="K329" s="48" t="s">
        <v>37</v>
      </c>
      <c r="L329" s="48" t="s">
        <v>37</v>
      </c>
      <c r="M329" s="38">
        <v>41455</v>
      </c>
      <c r="N329" s="37"/>
      <c r="O329" s="35">
        <v>27500</v>
      </c>
      <c r="P329" s="35"/>
      <c r="Q329" s="35"/>
    </row>
    <row r="330" spans="1:17" s="15" customFormat="1" ht="26.25" customHeight="1" x14ac:dyDescent="0.2">
      <c r="A330" s="43" t="s">
        <v>695</v>
      </c>
      <c r="B330" s="46" t="s">
        <v>48</v>
      </c>
      <c r="C330" s="44" t="s">
        <v>58</v>
      </c>
      <c r="D330" s="34">
        <v>4741</v>
      </c>
      <c r="E330" s="46" t="s">
        <v>189</v>
      </c>
      <c r="F330" s="35">
        <v>20000</v>
      </c>
      <c r="G330" s="40">
        <v>49500</v>
      </c>
      <c r="H330" s="35">
        <f>12000+14000+20000+4000+20000+20000</f>
        <v>90000</v>
      </c>
      <c r="I330" s="35">
        <f t="shared" si="12"/>
        <v>139500</v>
      </c>
      <c r="J330" s="36">
        <f t="shared" si="13"/>
        <v>1.8181818181818181</v>
      </c>
      <c r="K330" s="48" t="s">
        <v>37</v>
      </c>
      <c r="L330" s="48" t="s">
        <v>37</v>
      </c>
      <c r="M330" s="38">
        <v>41455</v>
      </c>
      <c r="N330" s="48" t="s">
        <v>36</v>
      </c>
      <c r="O330" s="35">
        <v>20000</v>
      </c>
      <c r="P330" s="35"/>
      <c r="Q330" s="35"/>
    </row>
    <row r="331" spans="1:17" s="15" customFormat="1" ht="26.25" customHeight="1" x14ac:dyDescent="0.2">
      <c r="A331" s="43" t="s">
        <v>696</v>
      </c>
      <c r="B331" s="46" t="s">
        <v>48</v>
      </c>
      <c r="C331" s="44" t="s">
        <v>711</v>
      </c>
      <c r="D331" s="34">
        <v>4745</v>
      </c>
      <c r="E331" s="46" t="s">
        <v>703</v>
      </c>
      <c r="F331" s="35">
        <v>4500</v>
      </c>
      <c r="G331" s="40">
        <v>4500</v>
      </c>
      <c r="H331" s="35">
        <v>4500</v>
      </c>
      <c r="I331" s="35">
        <f t="shared" si="12"/>
        <v>9000</v>
      </c>
      <c r="J331" s="36">
        <f t="shared" si="13"/>
        <v>1</v>
      </c>
      <c r="K331" s="48" t="s">
        <v>37</v>
      </c>
      <c r="L331" s="48" t="s">
        <v>37</v>
      </c>
      <c r="M331" s="38">
        <v>41274</v>
      </c>
      <c r="N331" s="48" t="s">
        <v>36</v>
      </c>
      <c r="O331" s="35">
        <v>4500</v>
      </c>
      <c r="P331" s="35"/>
      <c r="Q331" s="35"/>
    </row>
    <row r="332" spans="1:17" s="15" customFormat="1" ht="26.25" customHeight="1" x14ac:dyDescent="0.2">
      <c r="A332" s="43" t="s">
        <v>820</v>
      </c>
      <c r="B332" s="46" t="s">
        <v>48</v>
      </c>
      <c r="C332" s="44" t="s">
        <v>843</v>
      </c>
      <c r="D332" s="34">
        <v>4900</v>
      </c>
      <c r="E332" s="46" t="s">
        <v>860</v>
      </c>
      <c r="F332" s="35">
        <v>12500</v>
      </c>
      <c r="G332" s="40">
        <v>12500</v>
      </c>
      <c r="H332" s="35">
        <v>0</v>
      </c>
      <c r="I332" s="35">
        <f t="shared" si="12"/>
        <v>12500</v>
      </c>
      <c r="J332" s="36">
        <f t="shared" si="13"/>
        <v>0</v>
      </c>
      <c r="K332" s="48" t="s">
        <v>37</v>
      </c>
      <c r="L332" s="48" t="s">
        <v>37</v>
      </c>
      <c r="M332" s="38">
        <v>41305</v>
      </c>
      <c r="N332" s="37"/>
      <c r="O332" s="35">
        <v>12500</v>
      </c>
      <c r="P332" s="35"/>
      <c r="Q332" s="35"/>
    </row>
    <row r="333" spans="1:17" s="15" customFormat="1" ht="26.25" customHeight="1" x14ac:dyDescent="0.2">
      <c r="A333" s="43" t="s">
        <v>1004</v>
      </c>
      <c r="B333" s="46" t="s">
        <v>48</v>
      </c>
      <c r="C333" s="44" t="s">
        <v>1010</v>
      </c>
      <c r="D333" s="34">
        <v>5268</v>
      </c>
      <c r="E333" s="46" t="s">
        <v>1014</v>
      </c>
      <c r="F333" s="35">
        <v>46086</v>
      </c>
      <c r="G333" s="40">
        <v>46086</v>
      </c>
      <c r="H333" s="35">
        <v>0</v>
      </c>
      <c r="I333" s="35">
        <f t="shared" si="12"/>
        <v>46086</v>
      </c>
      <c r="J333" s="36">
        <f t="shared" si="13"/>
        <v>0</v>
      </c>
      <c r="K333" s="48" t="s">
        <v>37</v>
      </c>
      <c r="L333" s="48" t="s">
        <v>37</v>
      </c>
      <c r="M333" s="38">
        <v>41364</v>
      </c>
      <c r="N333" s="48"/>
      <c r="O333" s="35">
        <v>46086</v>
      </c>
      <c r="P333" s="35"/>
      <c r="Q333" s="35"/>
    </row>
    <row r="334" spans="1:17" s="15" customFormat="1" ht="26.25" customHeight="1" x14ac:dyDescent="0.2">
      <c r="A334" s="43" t="s">
        <v>1005</v>
      </c>
      <c r="B334" s="46" t="s">
        <v>48</v>
      </c>
      <c r="C334" s="44" t="s">
        <v>96</v>
      </c>
      <c r="D334" s="34">
        <v>5266</v>
      </c>
      <c r="E334" s="46" t="s">
        <v>1015</v>
      </c>
      <c r="F334" s="35">
        <v>8700</v>
      </c>
      <c r="G334" s="40">
        <v>9688</v>
      </c>
      <c r="H334" s="35">
        <v>8700</v>
      </c>
      <c r="I334" s="35">
        <f t="shared" si="12"/>
        <v>18388</v>
      </c>
      <c r="J334" s="36">
        <f t="shared" si="13"/>
        <v>0.89801816680429403</v>
      </c>
      <c r="K334" s="48" t="s">
        <v>37</v>
      </c>
      <c r="L334" s="48" t="s">
        <v>37</v>
      </c>
      <c r="M334" s="38">
        <v>41455</v>
      </c>
      <c r="N334" s="48" t="s">
        <v>36</v>
      </c>
      <c r="O334" s="35">
        <v>8700</v>
      </c>
      <c r="P334" s="35"/>
      <c r="Q334" s="35"/>
    </row>
    <row r="335" spans="1:17" s="15" customFormat="1" ht="26.25" customHeight="1" x14ac:dyDescent="0.2">
      <c r="A335" s="43" t="s">
        <v>1050</v>
      </c>
      <c r="B335" s="46" t="s">
        <v>48</v>
      </c>
      <c r="C335" s="44" t="s">
        <v>231</v>
      </c>
      <c r="D335" s="34">
        <v>5326</v>
      </c>
      <c r="E335" s="46" t="s">
        <v>1058</v>
      </c>
      <c r="F335" s="35">
        <v>6041</v>
      </c>
      <c r="G335" s="40">
        <v>6041</v>
      </c>
      <c r="H335" s="35">
        <v>0</v>
      </c>
      <c r="I335" s="35">
        <f t="shared" si="12"/>
        <v>6041</v>
      </c>
      <c r="J335" s="36">
        <f t="shared" si="13"/>
        <v>0</v>
      </c>
      <c r="K335" s="48" t="s">
        <v>37</v>
      </c>
      <c r="L335" s="48" t="s">
        <v>42</v>
      </c>
      <c r="M335" s="38">
        <v>41262</v>
      </c>
      <c r="N335" s="48"/>
      <c r="O335" s="35">
        <v>6041</v>
      </c>
      <c r="P335" s="35"/>
      <c r="Q335" s="35"/>
    </row>
    <row r="336" spans="1:17" s="15" customFormat="1" ht="26.25" customHeight="1" x14ac:dyDescent="0.2">
      <c r="A336" s="43" t="s">
        <v>1051</v>
      </c>
      <c r="B336" s="46" t="s">
        <v>48</v>
      </c>
      <c r="C336" s="44" t="s">
        <v>1055</v>
      </c>
      <c r="D336" s="34">
        <v>5325</v>
      </c>
      <c r="E336" s="46" t="s">
        <v>1059</v>
      </c>
      <c r="F336" s="35">
        <v>15000</v>
      </c>
      <c r="G336" s="40">
        <v>15000</v>
      </c>
      <c r="H336" s="35">
        <v>0</v>
      </c>
      <c r="I336" s="35">
        <f t="shared" si="12"/>
        <v>15000</v>
      </c>
      <c r="J336" s="36">
        <f t="shared" si="13"/>
        <v>0</v>
      </c>
      <c r="K336" s="48" t="s">
        <v>37</v>
      </c>
      <c r="L336" s="48" t="s">
        <v>37</v>
      </c>
      <c r="M336" s="38">
        <v>41329</v>
      </c>
      <c r="N336" s="48"/>
      <c r="O336" s="35">
        <v>15000</v>
      </c>
      <c r="P336" s="35"/>
      <c r="Q336" s="35"/>
    </row>
    <row r="337" spans="1:17" s="15" customFormat="1" ht="26.25" customHeight="1" x14ac:dyDescent="0.2">
      <c r="A337" s="43" t="s">
        <v>1105</v>
      </c>
      <c r="B337" s="46" t="s">
        <v>48</v>
      </c>
      <c r="C337" s="44" t="s">
        <v>1113</v>
      </c>
      <c r="D337" s="34">
        <v>5494</v>
      </c>
      <c r="E337" s="46" t="s">
        <v>1120</v>
      </c>
      <c r="F337" s="35">
        <v>15003</v>
      </c>
      <c r="G337" s="40">
        <v>15003</v>
      </c>
      <c r="H337" s="35">
        <v>0</v>
      </c>
      <c r="I337" s="35">
        <f t="shared" si="12"/>
        <v>15003</v>
      </c>
      <c r="J337" s="36">
        <f t="shared" si="13"/>
        <v>0</v>
      </c>
      <c r="K337" s="48" t="s">
        <v>37</v>
      </c>
      <c r="L337" s="48" t="s">
        <v>37</v>
      </c>
      <c r="M337" s="38">
        <v>41329</v>
      </c>
      <c r="N337" s="48"/>
      <c r="O337" s="35">
        <v>15003</v>
      </c>
      <c r="P337" s="35"/>
      <c r="Q337" s="35"/>
    </row>
    <row r="338" spans="1:17" s="15" customFormat="1" ht="26.25" customHeight="1" x14ac:dyDescent="0.2">
      <c r="A338" s="43" t="s">
        <v>1136</v>
      </c>
      <c r="B338" s="46" t="s">
        <v>48</v>
      </c>
      <c r="C338" s="44" t="s">
        <v>60</v>
      </c>
      <c r="D338" s="34">
        <v>5616</v>
      </c>
      <c r="E338" s="46" t="s">
        <v>1143</v>
      </c>
      <c r="F338" s="35">
        <v>19068</v>
      </c>
      <c r="G338" s="40">
        <v>19068</v>
      </c>
      <c r="H338" s="35">
        <v>0</v>
      </c>
      <c r="I338" s="35">
        <f t="shared" si="12"/>
        <v>19068</v>
      </c>
      <c r="J338" s="36">
        <f t="shared" si="13"/>
        <v>0</v>
      </c>
      <c r="K338" s="48" t="s">
        <v>37</v>
      </c>
      <c r="L338" s="48" t="s">
        <v>42</v>
      </c>
      <c r="M338" s="38">
        <v>41683</v>
      </c>
      <c r="N338" s="48"/>
      <c r="O338" s="35">
        <v>19068</v>
      </c>
      <c r="P338" s="35"/>
      <c r="Q338" s="35"/>
    </row>
    <row r="339" spans="1:17" s="15" customFormat="1" ht="26.25" customHeight="1" x14ac:dyDescent="0.2">
      <c r="A339" s="43" t="s">
        <v>1208</v>
      </c>
      <c r="B339" s="46" t="s">
        <v>48</v>
      </c>
      <c r="C339" s="44" t="s">
        <v>1212</v>
      </c>
      <c r="D339" s="34">
        <v>5759</v>
      </c>
      <c r="E339" s="46" t="s">
        <v>1216</v>
      </c>
      <c r="F339" s="35">
        <v>10025</v>
      </c>
      <c r="G339" s="40">
        <v>10025</v>
      </c>
      <c r="H339" s="35">
        <v>0</v>
      </c>
      <c r="I339" s="35">
        <f t="shared" si="12"/>
        <v>10025</v>
      </c>
      <c r="J339" s="36">
        <f t="shared" si="13"/>
        <v>0</v>
      </c>
      <c r="K339" s="48" t="s">
        <v>37</v>
      </c>
      <c r="L339" s="48" t="s">
        <v>37</v>
      </c>
      <c r="M339" s="38">
        <v>41385</v>
      </c>
      <c r="N339" s="48"/>
      <c r="O339" s="35">
        <v>10025</v>
      </c>
      <c r="P339" s="35"/>
      <c r="Q339" s="35"/>
    </row>
    <row r="340" spans="1:17" s="15" customFormat="1" ht="26.25" customHeight="1" x14ac:dyDescent="0.2">
      <c r="A340" s="43" t="s">
        <v>1209</v>
      </c>
      <c r="B340" s="46" t="s">
        <v>48</v>
      </c>
      <c r="C340" s="44" t="s">
        <v>1213</v>
      </c>
      <c r="D340" s="34">
        <v>5762</v>
      </c>
      <c r="E340" s="46" t="s">
        <v>1217</v>
      </c>
      <c r="F340" s="35">
        <v>10500</v>
      </c>
      <c r="G340" s="40">
        <v>10500</v>
      </c>
      <c r="H340" s="35">
        <v>0</v>
      </c>
      <c r="I340" s="35">
        <f t="shared" si="12"/>
        <v>10500</v>
      </c>
      <c r="J340" s="36">
        <f t="shared" si="13"/>
        <v>0</v>
      </c>
      <c r="K340" s="48" t="s">
        <v>37</v>
      </c>
      <c r="L340" s="48" t="s">
        <v>37</v>
      </c>
      <c r="M340" s="38">
        <v>41385</v>
      </c>
      <c r="N340" s="48"/>
      <c r="O340" s="35">
        <v>10500</v>
      </c>
      <c r="P340" s="35"/>
      <c r="Q340" s="35"/>
    </row>
    <row r="341" spans="1:17" s="15" customFormat="1" ht="26.25" customHeight="1" x14ac:dyDescent="0.2">
      <c r="A341" s="43" t="s">
        <v>1221</v>
      </c>
      <c r="B341" s="46" t="s">
        <v>48</v>
      </c>
      <c r="C341" s="44" t="s">
        <v>460</v>
      </c>
      <c r="D341" s="34">
        <v>5771</v>
      </c>
      <c r="E341" s="46" t="s">
        <v>1227</v>
      </c>
      <c r="F341" s="35">
        <v>30116</v>
      </c>
      <c r="G341" s="40">
        <v>24000</v>
      </c>
      <c r="H341" s="35">
        <v>30116</v>
      </c>
      <c r="I341" s="35">
        <f t="shared" si="12"/>
        <v>54116</v>
      </c>
      <c r="J341" s="36">
        <f t="shared" si="13"/>
        <v>1.2548333333333332</v>
      </c>
      <c r="K341" s="48" t="s">
        <v>37</v>
      </c>
      <c r="L341" s="48" t="s">
        <v>37</v>
      </c>
      <c r="M341" s="38">
        <v>41394</v>
      </c>
      <c r="N341" s="48" t="s">
        <v>36</v>
      </c>
      <c r="O341" s="35">
        <v>30116</v>
      </c>
      <c r="P341" s="35"/>
      <c r="Q341" s="35"/>
    </row>
    <row r="342" spans="1:17" s="15" customFormat="1" ht="26.25" customHeight="1" x14ac:dyDescent="0.2">
      <c r="A342" s="43" t="s">
        <v>1249</v>
      </c>
      <c r="B342" s="46" t="s">
        <v>48</v>
      </c>
      <c r="C342" s="44" t="s">
        <v>1010</v>
      </c>
      <c r="D342" s="47">
        <v>5807</v>
      </c>
      <c r="E342" s="46" t="s">
        <v>1240</v>
      </c>
      <c r="F342" s="35">
        <v>9500</v>
      </c>
      <c r="G342" s="40">
        <v>9500</v>
      </c>
      <c r="H342" s="35">
        <v>0</v>
      </c>
      <c r="I342" s="35">
        <f t="shared" si="12"/>
        <v>9500</v>
      </c>
      <c r="J342" s="36">
        <f t="shared" si="13"/>
        <v>0</v>
      </c>
      <c r="K342" s="48" t="s">
        <v>37</v>
      </c>
      <c r="L342" s="48" t="s">
        <v>37</v>
      </c>
      <c r="M342" s="38">
        <v>41384</v>
      </c>
      <c r="N342" s="48"/>
      <c r="O342" s="35">
        <v>9500</v>
      </c>
      <c r="P342" s="35"/>
      <c r="Q342" s="35"/>
    </row>
    <row r="343" spans="1:17" s="15" customFormat="1" ht="26.25" customHeight="1" x14ac:dyDescent="0.2">
      <c r="A343" s="43" t="s">
        <v>1250</v>
      </c>
      <c r="B343" s="46" t="s">
        <v>48</v>
      </c>
      <c r="C343" s="44" t="s">
        <v>644</v>
      </c>
      <c r="D343" s="47">
        <v>5810</v>
      </c>
      <c r="E343" s="46" t="s">
        <v>1241</v>
      </c>
      <c r="F343" s="35">
        <v>35000</v>
      </c>
      <c r="G343" s="40">
        <v>35000</v>
      </c>
      <c r="H343" s="35">
        <v>0</v>
      </c>
      <c r="I343" s="35">
        <f t="shared" si="12"/>
        <v>35000</v>
      </c>
      <c r="J343" s="36">
        <f t="shared" si="13"/>
        <v>0</v>
      </c>
      <c r="K343" s="48" t="s">
        <v>37</v>
      </c>
      <c r="L343" s="48" t="s">
        <v>37</v>
      </c>
      <c r="M343" s="38">
        <v>41399</v>
      </c>
      <c r="N343" s="48"/>
      <c r="O343" s="35">
        <v>35000</v>
      </c>
      <c r="P343" s="35"/>
      <c r="Q343" s="35"/>
    </row>
    <row r="344" spans="1:17" s="15" customFormat="1" ht="26.25" customHeight="1" x14ac:dyDescent="0.2">
      <c r="A344" s="43" t="s">
        <v>1251</v>
      </c>
      <c r="B344" s="46" t="s">
        <v>48</v>
      </c>
      <c r="C344" s="44" t="s">
        <v>1231</v>
      </c>
      <c r="D344" s="47">
        <v>5812</v>
      </c>
      <c r="E344" s="46" t="s">
        <v>1241</v>
      </c>
      <c r="F344" s="35">
        <v>15232</v>
      </c>
      <c r="G344" s="40">
        <v>15232</v>
      </c>
      <c r="H344" s="35">
        <v>0</v>
      </c>
      <c r="I344" s="35">
        <f t="shared" si="12"/>
        <v>15232</v>
      </c>
      <c r="J344" s="36">
        <f t="shared" si="13"/>
        <v>0</v>
      </c>
      <c r="K344" s="48" t="s">
        <v>37</v>
      </c>
      <c r="L344" s="48" t="s">
        <v>37</v>
      </c>
      <c r="M344" s="38">
        <v>41399</v>
      </c>
      <c r="N344" s="48"/>
      <c r="O344" s="35">
        <v>15232</v>
      </c>
      <c r="P344" s="35"/>
      <c r="Q344" s="35"/>
    </row>
    <row r="345" spans="1:17" s="15" customFormat="1" ht="38.25" customHeight="1" x14ac:dyDescent="0.2">
      <c r="A345" s="43" t="s">
        <v>1252</v>
      </c>
      <c r="B345" s="46" t="s">
        <v>48</v>
      </c>
      <c r="C345" s="44" t="s">
        <v>1232</v>
      </c>
      <c r="D345" s="47">
        <v>5814</v>
      </c>
      <c r="E345" s="46" t="s">
        <v>1242</v>
      </c>
      <c r="F345" s="35">
        <f>48750*3</f>
        <v>146250</v>
      </c>
      <c r="G345" s="40">
        <f>48750*3</f>
        <v>146250</v>
      </c>
      <c r="H345" s="35">
        <v>0</v>
      </c>
      <c r="I345" s="35">
        <f t="shared" si="12"/>
        <v>146250</v>
      </c>
      <c r="J345" s="36">
        <f t="shared" si="13"/>
        <v>0</v>
      </c>
      <c r="K345" s="48" t="s">
        <v>37</v>
      </c>
      <c r="L345" s="48" t="s">
        <v>42</v>
      </c>
      <c r="M345" s="38">
        <v>41455</v>
      </c>
      <c r="N345" s="48" t="s">
        <v>64</v>
      </c>
      <c r="O345" s="35">
        <v>48750</v>
      </c>
      <c r="P345" s="35">
        <v>48750</v>
      </c>
      <c r="Q345" s="35">
        <v>48750</v>
      </c>
    </row>
    <row r="346" spans="1:17" s="15" customFormat="1" ht="26.25" customHeight="1" x14ac:dyDescent="0.2">
      <c r="A346" s="43" t="s">
        <v>1254</v>
      </c>
      <c r="B346" s="46" t="s">
        <v>48</v>
      </c>
      <c r="C346" s="44" t="s">
        <v>1234</v>
      </c>
      <c r="D346" s="47">
        <v>5827</v>
      </c>
      <c r="E346" s="46" t="s">
        <v>1244</v>
      </c>
      <c r="F346" s="35">
        <v>10205</v>
      </c>
      <c r="G346" s="40">
        <v>10205</v>
      </c>
      <c r="H346" s="35">
        <v>0</v>
      </c>
      <c r="I346" s="35">
        <f t="shared" si="12"/>
        <v>10205</v>
      </c>
      <c r="J346" s="36">
        <f t="shared" si="13"/>
        <v>0</v>
      </c>
      <c r="K346" s="48" t="s">
        <v>37</v>
      </c>
      <c r="L346" s="48" t="s">
        <v>37</v>
      </c>
      <c r="M346" s="38">
        <v>41383</v>
      </c>
      <c r="N346" s="48"/>
      <c r="O346" s="35">
        <v>10205</v>
      </c>
      <c r="P346" s="35"/>
      <c r="Q346" s="35"/>
    </row>
    <row r="347" spans="1:17" s="15" customFormat="1" ht="26.25" customHeight="1" x14ac:dyDescent="0.2">
      <c r="A347" s="43" t="s">
        <v>1264</v>
      </c>
      <c r="B347" s="46" t="s">
        <v>48</v>
      </c>
      <c r="C347" s="44" t="s">
        <v>1268</v>
      </c>
      <c r="D347" s="47">
        <v>5908</v>
      </c>
      <c r="E347" s="46" t="s">
        <v>1276</v>
      </c>
      <c r="F347" s="35">
        <v>5680</v>
      </c>
      <c r="G347" s="40">
        <v>5680</v>
      </c>
      <c r="H347" s="35">
        <v>0</v>
      </c>
      <c r="I347" s="35">
        <f t="shared" si="12"/>
        <v>5680</v>
      </c>
      <c r="J347" s="36">
        <f t="shared" si="13"/>
        <v>0</v>
      </c>
      <c r="K347" s="48" t="s">
        <v>37</v>
      </c>
      <c r="L347" s="48" t="s">
        <v>42</v>
      </c>
      <c r="M347" s="38">
        <v>41383</v>
      </c>
      <c r="N347" s="48"/>
      <c r="O347" s="35">
        <v>5680</v>
      </c>
      <c r="P347" s="35"/>
      <c r="Q347" s="35"/>
    </row>
    <row r="348" spans="1:17" s="15" customFormat="1" ht="26.25" customHeight="1" x14ac:dyDescent="0.2">
      <c r="A348" s="43" t="s">
        <v>1290</v>
      </c>
      <c r="B348" s="46" t="s">
        <v>48</v>
      </c>
      <c r="C348" s="44" t="s">
        <v>1302</v>
      </c>
      <c r="D348" s="47">
        <v>5951</v>
      </c>
      <c r="E348" s="46" t="s">
        <v>1317</v>
      </c>
      <c r="F348" s="35">
        <v>9355</v>
      </c>
      <c r="G348" s="40">
        <v>9355</v>
      </c>
      <c r="H348" s="35">
        <v>0</v>
      </c>
      <c r="I348" s="35">
        <f t="shared" si="12"/>
        <v>9355</v>
      </c>
      <c r="J348" s="36">
        <f t="shared" si="13"/>
        <v>0</v>
      </c>
      <c r="K348" s="48" t="s">
        <v>37</v>
      </c>
      <c r="L348" s="48" t="s">
        <v>42</v>
      </c>
      <c r="M348" s="38">
        <v>41383</v>
      </c>
      <c r="N348" s="48"/>
      <c r="O348" s="35">
        <v>9355</v>
      </c>
      <c r="P348" s="35"/>
      <c r="Q348" s="35"/>
    </row>
    <row r="349" spans="1:17" s="15" customFormat="1" ht="26.25" customHeight="1" x14ac:dyDescent="0.2">
      <c r="A349" s="43" t="s">
        <v>1293</v>
      </c>
      <c r="B349" s="46" t="s">
        <v>48</v>
      </c>
      <c r="C349" s="44" t="s">
        <v>1298</v>
      </c>
      <c r="D349" s="47">
        <v>5955</v>
      </c>
      <c r="E349" s="46" t="s">
        <v>1312</v>
      </c>
      <c r="F349" s="35">
        <v>20859</v>
      </c>
      <c r="G349" s="40">
        <v>20859</v>
      </c>
      <c r="H349" s="35">
        <v>0</v>
      </c>
      <c r="I349" s="35">
        <f t="shared" si="12"/>
        <v>20859</v>
      </c>
      <c r="J349" s="36">
        <f t="shared" si="13"/>
        <v>0</v>
      </c>
      <c r="K349" s="48" t="s">
        <v>37</v>
      </c>
      <c r="L349" s="48" t="s">
        <v>37</v>
      </c>
      <c r="M349" s="38">
        <v>41399</v>
      </c>
      <c r="N349" s="48"/>
      <c r="O349" s="35">
        <v>20859</v>
      </c>
      <c r="P349" s="35"/>
      <c r="Q349" s="35"/>
    </row>
    <row r="350" spans="1:17" s="15" customFormat="1" ht="26.25" customHeight="1" x14ac:dyDescent="0.2">
      <c r="A350" s="43" t="s">
        <v>1321</v>
      </c>
      <c r="B350" s="46" t="s">
        <v>48</v>
      </c>
      <c r="C350" s="44" t="s">
        <v>1212</v>
      </c>
      <c r="D350" s="47">
        <v>6111</v>
      </c>
      <c r="E350" s="46" t="s">
        <v>1333</v>
      </c>
      <c r="F350" s="35">
        <v>10136</v>
      </c>
      <c r="G350" s="40">
        <v>10136</v>
      </c>
      <c r="H350" s="35">
        <v>0</v>
      </c>
      <c r="I350" s="35">
        <f t="shared" si="12"/>
        <v>10136</v>
      </c>
      <c r="J350" s="36">
        <f t="shared" si="13"/>
        <v>0</v>
      </c>
      <c r="K350" s="48" t="s">
        <v>37</v>
      </c>
      <c r="L350" s="48" t="s">
        <v>37</v>
      </c>
      <c r="M350" s="38">
        <v>41406</v>
      </c>
      <c r="N350" s="48"/>
      <c r="O350" s="35">
        <v>10136</v>
      </c>
      <c r="P350" s="35"/>
      <c r="Q350" s="35"/>
    </row>
    <row r="351" spans="1:17" s="15" customFormat="1" ht="38.25" customHeight="1" x14ac:dyDescent="0.2">
      <c r="A351" s="43" t="s">
        <v>1322</v>
      </c>
      <c r="B351" s="46" t="s">
        <v>48</v>
      </c>
      <c r="C351" s="44" t="s">
        <v>1010</v>
      </c>
      <c r="D351" s="47">
        <v>6113</v>
      </c>
      <c r="E351" s="46" t="s">
        <v>1334</v>
      </c>
      <c r="F351" s="35">
        <v>13000</v>
      </c>
      <c r="G351" s="40">
        <v>13000</v>
      </c>
      <c r="H351" s="35">
        <v>0</v>
      </c>
      <c r="I351" s="35">
        <f t="shared" si="12"/>
        <v>13000</v>
      </c>
      <c r="J351" s="36">
        <f t="shared" si="13"/>
        <v>0</v>
      </c>
      <c r="K351" s="48" t="s">
        <v>37</v>
      </c>
      <c r="L351" s="48" t="s">
        <v>37</v>
      </c>
      <c r="M351" s="38">
        <v>41406</v>
      </c>
      <c r="N351" s="48"/>
      <c r="O351" s="35">
        <v>13000</v>
      </c>
      <c r="P351" s="35"/>
      <c r="Q351" s="35"/>
    </row>
    <row r="352" spans="1:17" s="15" customFormat="1" ht="38.25" customHeight="1" x14ac:dyDescent="0.2">
      <c r="A352" s="43" t="s">
        <v>1323</v>
      </c>
      <c r="B352" s="46" t="s">
        <v>48</v>
      </c>
      <c r="C352" s="44" t="s">
        <v>1234</v>
      </c>
      <c r="D352" s="47">
        <v>6121</v>
      </c>
      <c r="E352" s="46" t="s">
        <v>1335</v>
      </c>
      <c r="F352" s="35">
        <v>13400</v>
      </c>
      <c r="G352" s="40">
        <v>13400</v>
      </c>
      <c r="H352" s="35">
        <v>0</v>
      </c>
      <c r="I352" s="35">
        <f t="shared" si="12"/>
        <v>13400</v>
      </c>
      <c r="J352" s="36">
        <f t="shared" si="13"/>
        <v>0</v>
      </c>
      <c r="K352" s="48" t="s">
        <v>37</v>
      </c>
      <c r="L352" s="48" t="s">
        <v>37</v>
      </c>
      <c r="M352" s="38">
        <v>41406</v>
      </c>
      <c r="N352" s="48"/>
      <c r="O352" s="35">
        <v>13400</v>
      </c>
      <c r="P352" s="35"/>
      <c r="Q352" s="35"/>
    </row>
    <row r="353" spans="1:17" s="15" customFormat="1" ht="38.25" customHeight="1" x14ac:dyDescent="0.2">
      <c r="A353" s="43" t="s">
        <v>1324</v>
      </c>
      <c r="B353" s="46" t="s">
        <v>48</v>
      </c>
      <c r="C353" s="44" t="s">
        <v>1329</v>
      </c>
      <c r="D353" s="47">
        <v>6123</v>
      </c>
      <c r="E353" s="46" t="s">
        <v>1336</v>
      </c>
      <c r="F353" s="35">
        <v>7200</v>
      </c>
      <c r="G353" s="40">
        <v>7200</v>
      </c>
      <c r="H353" s="35">
        <v>0</v>
      </c>
      <c r="I353" s="35">
        <f t="shared" si="12"/>
        <v>7200</v>
      </c>
      <c r="J353" s="36">
        <f t="shared" si="13"/>
        <v>0</v>
      </c>
      <c r="K353" s="48" t="s">
        <v>37</v>
      </c>
      <c r="L353" s="48" t="s">
        <v>37</v>
      </c>
      <c r="M353" s="38">
        <v>41406</v>
      </c>
      <c r="N353" s="48"/>
      <c r="O353" s="35">
        <v>7200</v>
      </c>
      <c r="P353" s="35"/>
      <c r="Q353" s="35"/>
    </row>
    <row r="354" spans="1:17" s="15" customFormat="1" ht="26.25" customHeight="1" x14ac:dyDescent="0.2">
      <c r="A354" s="43" t="s">
        <v>1347</v>
      </c>
      <c r="B354" s="46" t="s">
        <v>48</v>
      </c>
      <c r="C354" s="44" t="s">
        <v>1352</v>
      </c>
      <c r="D354" s="47">
        <v>6067</v>
      </c>
      <c r="E354" s="46" t="s">
        <v>1357</v>
      </c>
      <c r="F354" s="35">
        <v>5710</v>
      </c>
      <c r="G354" s="40">
        <v>5710</v>
      </c>
      <c r="H354" s="35">
        <v>0</v>
      </c>
      <c r="I354" s="35">
        <f t="shared" si="12"/>
        <v>5710</v>
      </c>
      <c r="J354" s="36">
        <f t="shared" si="13"/>
        <v>0</v>
      </c>
      <c r="K354" s="48" t="s">
        <v>37</v>
      </c>
      <c r="L354" s="48" t="s">
        <v>42</v>
      </c>
      <c r="M354" s="38">
        <v>41455</v>
      </c>
      <c r="N354" s="48"/>
      <c r="O354" s="35">
        <v>5710</v>
      </c>
      <c r="P354" s="35"/>
      <c r="Q354" s="35"/>
    </row>
    <row r="355" spans="1:17" s="15" customFormat="1" ht="26.25" customHeight="1" x14ac:dyDescent="0.2">
      <c r="A355" s="43" t="s">
        <v>1392</v>
      </c>
      <c r="B355" s="46" t="s">
        <v>48</v>
      </c>
      <c r="C355" s="44" t="s">
        <v>1398</v>
      </c>
      <c r="D355" s="34">
        <v>6283</v>
      </c>
      <c r="E355" s="46" t="s">
        <v>1408</v>
      </c>
      <c r="F355" s="35">
        <v>16200</v>
      </c>
      <c r="G355" s="40">
        <v>16200</v>
      </c>
      <c r="H355" s="35">
        <v>0</v>
      </c>
      <c r="I355" s="35">
        <f t="shared" si="12"/>
        <v>16200</v>
      </c>
      <c r="J355" s="36">
        <f t="shared" si="13"/>
        <v>0</v>
      </c>
      <c r="K355" s="48" t="s">
        <v>37</v>
      </c>
      <c r="L355" s="48" t="s">
        <v>37</v>
      </c>
      <c r="M355" s="38">
        <v>41639</v>
      </c>
      <c r="N355" s="48"/>
      <c r="O355" s="35">
        <v>16200</v>
      </c>
      <c r="P355" s="35"/>
      <c r="Q355" s="35"/>
    </row>
    <row r="356" spans="1:17" s="15" customFormat="1" ht="38.25" customHeight="1" x14ac:dyDescent="0.2">
      <c r="A356" s="43" t="s">
        <v>1348</v>
      </c>
      <c r="B356" s="46" t="s">
        <v>1349</v>
      </c>
      <c r="C356" s="44" t="s">
        <v>1353</v>
      </c>
      <c r="D356" s="47">
        <v>6176</v>
      </c>
      <c r="E356" s="46" t="s">
        <v>1358</v>
      </c>
      <c r="F356" s="35">
        <v>10000</v>
      </c>
      <c r="G356" s="40">
        <v>10000</v>
      </c>
      <c r="H356" s="35">
        <v>0</v>
      </c>
      <c r="I356" s="35">
        <f t="shared" si="12"/>
        <v>10000</v>
      </c>
      <c r="J356" s="36">
        <f t="shared" si="13"/>
        <v>0</v>
      </c>
      <c r="K356" s="48" t="s">
        <v>37</v>
      </c>
      <c r="L356" s="48" t="s">
        <v>37</v>
      </c>
      <c r="M356" s="38">
        <v>41425</v>
      </c>
      <c r="N356" s="48"/>
      <c r="O356" s="35">
        <v>10000</v>
      </c>
      <c r="P356" s="35"/>
      <c r="Q356" s="35"/>
    </row>
    <row r="357" spans="1:17" s="15" customFormat="1" ht="26.25" customHeight="1" x14ac:dyDescent="0.2">
      <c r="A357" s="43" t="s">
        <v>263</v>
      </c>
      <c r="B357" s="46" t="s">
        <v>49</v>
      </c>
      <c r="C357" s="44" t="s">
        <v>111</v>
      </c>
      <c r="D357" s="47">
        <v>4257</v>
      </c>
      <c r="E357" s="46" t="s">
        <v>109</v>
      </c>
      <c r="F357" s="35">
        <v>75000</v>
      </c>
      <c r="G357" s="40">
        <v>75000</v>
      </c>
      <c r="H357" s="35">
        <v>0</v>
      </c>
      <c r="I357" s="35">
        <f t="shared" si="12"/>
        <v>75000</v>
      </c>
      <c r="J357" s="36">
        <f t="shared" si="13"/>
        <v>0</v>
      </c>
      <c r="K357" s="48" t="s">
        <v>37</v>
      </c>
      <c r="L357" s="48" t="s">
        <v>37</v>
      </c>
      <c r="M357" s="38">
        <v>41455</v>
      </c>
      <c r="N357" s="37"/>
      <c r="O357" s="41">
        <v>75000</v>
      </c>
      <c r="P357" s="41"/>
      <c r="Q357" s="41"/>
    </row>
    <row r="358" spans="1:17" s="15" customFormat="1" ht="26.25" customHeight="1" x14ac:dyDescent="0.2">
      <c r="A358" s="43" t="s">
        <v>403</v>
      </c>
      <c r="B358" s="46" t="s">
        <v>49</v>
      </c>
      <c r="C358" s="44" t="s">
        <v>416</v>
      </c>
      <c r="D358" s="34">
        <v>4253</v>
      </c>
      <c r="E358" s="46" t="s">
        <v>434</v>
      </c>
      <c r="F358" s="35">
        <f>13500*3</f>
        <v>40500</v>
      </c>
      <c r="G358" s="40">
        <f>13500*3</f>
        <v>40500</v>
      </c>
      <c r="H358" s="35">
        <v>0</v>
      </c>
      <c r="I358" s="35">
        <f t="shared" si="12"/>
        <v>40500</v>
      </c>
      <c r="J358" s="36">
        <f t="shared" si="13"/>
        <v>0</v>
      </c>
      <c r="K358" s="48" t="s">
        <v>37</v>
      </c>
      <c r="L358" s="48" t="s">
        <v>37</v>
      </c>
      <c r="M358" s="38">
        <v>41455</v>
      </c>
      <c r="N358" s="48" t="s">
        <v>64</v>
      </c>
      <c r="O358" s="41">
        <v>13500</v>
      </c>
      <c r="P358" s="41">
        <v>13500</v>
      </c>
      <c r="Q358" s="41">
        <v>13500</v>
      </c>
    </row>
    <row r="359" spans="1:17" s="15" customFormat="1" ht="26.25" customHeight="1" x14ac:dyDescent="0.2">
      <c r="A359" s="43" t="s">
        <v>588</v>
      </c>
      <c r="B359" s="46" t="s">
        <v>49</v>
      </c>
      <c r="C359" s="44" t="s">
        <v>597</v>
      </c>
      <c r="D359" s="34">
        <v>4462</v>
      </c>
      <c r="E359" s="46" t="s">
        <v>592</v>
      </c>
      <c r="F359" s="35">
        <v>30000</v>
      </c>
      <c r="G359" s="40">
        <v>30000</v>
      </c>
      <c r="H359" s="35">
        <v>0</v>
      </c>
      <c r="I359" s="35">
        <f t="shared" si="12"/>
        <v>30000</v>
      </c>
      <c r="J359" s="36">
        <f t="shared" si="13"/>
        <v>0</v>
      </c>
      <c r="K359" s="48" t="s">
        <v>37</v>
      </c>
      <c r="L359" s="48" t="s">
        <v>37</v>
      </c>
      <c r="M359" s="38">
        <v>42185</v>
      </c>
      <c r="N359" s="37"/>
      <c r="O359" s="35">
        <v>30000</v>
      </c>
      <c r="P359" s="35"/>
      <c r="Q359" s="35"/>
    </row>
    <row r="360" spans="1:17" s="15" customFormat="1" ht="26.25" customHeight="1" x14ac:dyDescent="0.2">
      <c r="A360" s="43" t="s">
        <v>656</v>
      </c>
      <c r="B360" s="46" t="s">
        <v>49</v>
      </c>
      <c r="C360" s="44" t="s">
        <v>669</v>
      </c>
      <c r="D360" s="34">
        <v>4258</v>
      </c>
      <c r="E360" s="46" t="s">
        <v>674</v>
      </c>
      <c r="F360" s="35">
        <v>90000</v>
      </c>
      <c r="G360" s="40">
        <v>88973</v>
      </c>
      <c r="H360" s="35">
        <f>90000</f>
        <v>90000</v>
      </c>
      <c r="I360" s="35">
        <f t="shared" si="12"/>
        <v>178973</v>
      </c>
      <c r="J360" s="36">
        <f t="shared" si="13"/>
        <v>1.0115428275993841</v>
      </c>
      <c r="K360" s="48" t="s">
        <v>37</v>
      </c>
      <c r="L360" s="48" t="s">
        <v>37</v>
      </c>
      <c r="M360" s="38">
        <v>41455</v>
      </c>
      <c r="N360" s="48" t="s">
        <v>36</v>
      </c>
      <c r="O360" s="35">
        <v>90000</v>
      </c>
      <c r="P360" s="35"/>
      <c r="Q360" s="35"/>
    </row>
    <row r="361" spans="1:17" s="15" customFormat="1" ht="26.25" customHeight="1" x14ac:dyDescent="0.2">
      <c r="A361" s="43" t="s">
        <v>604</v>
      </c>
      <c r="B361" s="46" t="s">
        <v>49</v>
      </c>
      <c r="C361" s="44" t="s">
        <v>22</v>
      </c>
      <c r="D361" s="34">
        <v>4468</v>
      </c>
      <c r="E361" s="46" t="s">
        <v>676</v>
      </c>
      <c r="F361" s="35">
        <v>6000</v>
      </c>
      <c r="G361" s="40">
        <v>6000</v>
      </c>
      <c r="H361" s="35">
        <v>0</v>
      </c>
      <c r="I361" s="35">
        <f t="shared" si="12"/>
        <v>6000</v>
      </c>
      <c r="J361" s="36">
        <f t="shared" si="13"/>
        <v>0</v>
      </c>
      <c r="K361" s="48" t="s">
        <v>37</v>
      </c>
      <c r="L361" s="48" t="s">
        <v>37</v>
      </c>
      <c r="M361" s="38">
        <v>41455</v>
      </c>
      <c r="N361" s="48"/>
      <c r="O361" s="35">
        <v>6000</v>
      </c>
      <c r="P361" s="35"/>
      <c r="Q361" s="35"/>
    </row>
    <row r="362" spans="1:17" s="15" customFormat="1" ht="26.25" customHeight="1" x14ac:dyDescent="0.2">
      <c r="A362" s="43" t="s">
        <v>715</v>
      </c>
      <c r="B362" s="46" t="s">
        <v>49</v>
      </c>
      <c r="C362" s="44" t="s">
        <v>728</v>
      </c>
      <c r="D362" s="34">
        <v>4784</v>
      </c>
      <c r="E362" s="46" t="s">
        <v>724</v>
      </c>
      <c r="F362" s="35">
        <v>95000</v>
      </c>
      <c r="G362" s="40">
        <v>95000</v>
      </c>
      <c r="H362" s="35">
        <v>0</v>
      </c>
      <c r="I362" s="35">
        <f t="shared" si="12"/>
        <v>95000</v>
      </c>
      <c r="J362" s="36">
        <f t="shared" si="13"/>
        <v>0</v>
      </c>
      <c r="K362" s="48" t="s">
        <v>37</v>
      </c>
      <c r="L362" s="48" t="s">
        <v>42</v>
      </c>
      <c r="M362" s="38">
        <v>41820</v>
      </c>
      <c r="N362" s="37"/>
      <c r="O362" s="35">
        <v>95000</v>
      </c>
      <c r="P362" s="35"/>
      <c r="Q362" s="35"/>
    </row>
    <row r="363" spans="1:17" s="15" customFormat="1" ht="26.25" customHeight="1" x14ac:dyDescent="0.2">
      <c r="A363" s="43" t="s">
        <v>717</v>
      </c>
      <c r="B363" s="46" t="s">
        <v>49</v>
      </c>
      <c r="C363" s="44" t="s">
        <v>730</v>
      </c>
      <c r="D363" s="34">
        <v>4800</v>
      </c>
      <c r="E363" s="46" t="s">
        <v>726</v>
      </c>
      <c r="F363" s="35">
        <v>99600</v>
      </c>
      <c r="G363" s="40">
        <v>99600</v>
      </c>
      <c r="H363" s="35">
        <v>0</v>
      </c>
      <c r="I363" s="35">
        <f t="shared" si="12"/>
        <v>99600</v>
      </c>
      <c r="J363" s="36">
        <f t="shared" si="13"/>
        <v>0</v>
      </c>
      <c r="K363" s="48" t="s">
        <v>37</v>
      </c>
      <c r="L363" s="48" t="s">
        <v>37</v>
      </c>
      <c r="M363" s="38">
        <v>41455</v>
      </c>
      <c r="N363" s="37"/>
      <c r="O363" s="35">
        <v>99600</v>
      </c>
      <c r="P363" s="35"/>
      <c r="Q363" s="35"/>
    </row>
    <row r="364" spans="1:17" s="15" customFormat="1" ht="26.25" customHeight="1" x14ac:dyDescent="0.2">
      <c r="A364" s="43" t="s">
        <v>718</v>
      </c>
      <c r="B364" s="46" t="s">
        <v>49</v>
      </c>
      <c r="C364" s="44" t="s">
        <v>731</v>
      </c>
      <c r="D364" s="34">
        <v>4823</v>
      </c>
      <c r="E364" s="46" t="s">
        <v>724</v>
      </c>
      <c r="F364" s="35">
        <v>95000</v>
      </c>
      <c r="G364" s="40">
        <v>95000</v>
      </c>
      <c r="H364" s="35">
        <v>0</v>
      </c>
      <c r="I364" s="35">
        <f t="shared" si="12"/>
        <v>95000</v>
      </c>
      <c r="J364" s="36">
        <f t="shared" si="13"/>
        <v>0</v>
      </c>
      <c r="K364" s="48" t="s">
        <v>37</v>
      </c>
      <c r="L364" s="48" t="s">
        <v>42</v>
      </c>
      <c r="M364" s="38">
        <v>41455</v>
      </c>
      <c r="N364" s="37"/>
      <c r="O364" s="35">
        <v>95000</v>
      </c>
      <c r="P364" s="35"/>
      <c r="Q364" s="35"/>
    </row>
    <row r="365" spans="1:17" s="15" customFormat="1" ht="26.25" customHeight="1" x14ac:dyDescent="0.2">
      <c r="A365" s="43" t="s">
        <v>719</v>
      </c>
      <c r="B365" s="46" t="s">
        <v>49</v>
      </c>
      <c r="C365" s="44" t="s">
        <v>732</v>
      </c>
      <c r="D365" s="34">
        <v>4824</v>
      </c>
      <c r="E365" s="46" t="s">
        <v>724</v>
      </c>
      <c r="F365" s="35">
        <v>95000</v>
      </c>
      <c r="G365" s="40">
        <v>95000</v>
      </c>
      <c r="H365" s="35">
        <v>0</v>
      </c>
      <c r="I365" s="35">
        <f t="shared" si="12"/>
        <v>95000</v>
      </c>
      <c r="J365" s="36">
        <f t="shared" si="13"/>
        <v>0</v>
      </c>
      <c r="K365" s="48" t="s">
        <v>37</v>
      </c>
      <c r="L365" s="48" t="s">
        <v>42</v>
      </c>
      <c r="M365" s="38">
        <v>41455</v>
      </c>
      <c r="N365" s="37"/>
      <c r="O365" s="35">
        <v>95000</v>
      </c>
      <c r="P365" s="35"/>
      <c r="Q365" s="35"/>
    </row>
    <row r="366" spans="1:17" s="15" customFormat="1" ht="26.25" customHeight="1" x14ac:dyDescent="0.2">
      <c r="A366" s="43" t="s">
        <v>720</v>
      </c>
      <c r="B366" s="46" t="s">
        <v>49</v>
      </c>
      <c r="C366" s="44" t="s">
        <v>733</v>
      </c>
      <c r="D366" s="34">
        <v>4825</v>
      </c>
      <c r="E366" s="46" t="s">
        <v>724</v>
      </c>
      <c r="F366" s="35">
        <v>95000</v>
      </c>
      <c r="G366" s="40">
        <v>95000</v>
      </c>
      <c r="H366" s="35">
        <v>0</v>
      </c>
      <c r="I366" s="35">
        <f t="shared" si="12"/>
        <v>95000</v>
      </c>
      <c r="J366" s="36">
        <f t="shared" si="13"/>
        <v>0</v>
      </c>
      <c r="K366" s="48" t="s">
        <v>37</v>
      </c>
      <c r="L366" s="48" t="s">
        <v>42</v>
      </c>
      <c r="M366" s="38">
        <v>41455</v>
      </c>
      <c r="N366" s="37"/>
      <c r="O366" s="35">
        <v>95000</v>
      </c>
      <c r="P366" s="35"/>
      <c r="Q366" s="35"/>
    </row>
    <row r="367" spans="1:17" s="15" customFormat="1" ht="26.25" customHeight="1" x14ac:dyDescent="0.2">
      <c r="A367" s="43" t="s">
        <v>721</v>
      </c>
      <c r="B367" s="46" t="s">
        <v>49</v>
      </c>
      <c r="C367" s="44" t="s">
        <v>734</v>
      </c>
      <c r="D367" s="34">
        <v>4826</v>
      </c>
      <c r="E367" s="46" t="s">
        <v>724</v>
      </c>
      <c r="F367" s="35">
        <v>95000</v>
      </c>
      <c r="G367" s="40">
        <v>95000</v>
      </c>
      <c r="H367" s="35">
        <v>0</v>
      </c>
      <c r="I367" s="35">
        <f t="shared" si="12"/>
        <v>95000</v>
      </c>
      <c r="J367" s="36">
        <f t="shared" si="13"/>
        <v>0</v>
      </c>
      <c r="K367" s="48" t="s">
        <v>37</v>
      </c>
      <c r="L367" s="48" t="s">
        <v>42</v>
      </c>
      <c r="M367" s="38">
        <v>41455</v>
      </c>
      <c r="N367" s="37"/>
      <c r="O367" s="35">
        <v>95000</v>
      </c>
      <c r="P367" s="35"/>
      <c r="Q367" s="35"/>
    </row>
    <row r="368" spans="1:17" s="15" customFormat="1" ht="26.25" customHeight="1" x14ac:dyDescent="0.2">
      <c r="A368" s="43" t="s">
        <v>776</v>
      </c>
      <c r="B368" s="46" t="s">
        <v>49</v>
      </c>
      <c r="C368" s="44" t="s">
        <v>801</v>
      </c>
      <c r="D368" s="34">
        <v>4991</v>
      </c>
      <c r="E368" s="46" t="s">
        <v>788</v>
      </c>
      <c r="F368" s="35">
        <v>95000</v>
      </c>
      <c r="G368" s="40">
        <v>95000</v>
      </c>
      <c r="H368" s="35">
        <v>0</v>
      </c>
      <c r="I368" s="35">
        <f t="shared" si="12"/>
        <v>95000</v>
      </c>
      <c r="J368" s="36">
        <f t="shared" si="13"/>
        <v>0</v>
      </c>
      <c r="K368" s="48" t="s">
        <v>37</v>
      </c>
      <c r="L368" s="48" t="s">
        <v>42</v>
      </c>
      <c r="M368" s="38">
        <v>41455</v>
      </c>
      <c r="N368" s="37"/>
      <c r="O368" s="35">
        <v>95000</v>
      </c>
      <c r="P368" s="35"/>
      <c r="Q368" s="35"/>
    </row>
    <row r="369" spans="1:17" s="15" customFormat="1" ht="26.25" customHeight="1" x14ac:dyDescent="0.2">
      <c r="A369" s="43" t="s">
        <v>777</v>
      </c>
      <c r="B369" s="46" t="s">
        <v>49</v>
      </c>
      <c r="C369" s="44" t="s">
        <v>123</v>
      </c>
      <c r="D369" s="34">
        <v>4990</v>
      </c>
      <c r="E369" s="46" t="s">
        <v>788</v>
      </c>
      <c r="F369" s="35">
        <v>95000</v>
      </c>
      <c r="G369" s="40">
        <v>95000</v>
      </c>
      <c r="H369" s="35">
        <v>0</v>
      </c>
      <c r="I369" s="35">
        <f t="shared" si="12"/>
        <v>95000</v>
      </c>
      <c r="J369" s="36">
        <f t="shared" si="13"/>
        <v>0</v>
      </c>
      <c r="K369" s="48" t="s">
        <v>37</v>
      </c>
      <c r="L369" s="48" t="s">
        <v>42</v>
      </c>
      <c r="M369" s="38">
        <v>41455</v>
      </c>
      <c r="N369" s="37"/>
      <c r="O369" s="35">
        <v>95000</v>
      </c>
      <c r="P369" s="35"/>
      <c r="Q369" s="35"/>
    </row>
    <row r="370" spans="1:17" s="15" customFormat="1" ht="26.25" customHeight="1" x14ac:dyDescent="0.2">
      <c r="A370" s="43" t="s">
        <v>936</v>
      </c>
      <c r="B370" s="46" t="s">
        <v>49</v>
      </c>
      <c r="C370" s="44" t="s">
        <v>943</v>
      </c>
      <c r="D370" s="34">
        <v>5055</v>
      </c>
      <c r="E370" s="46" t="s">
        <v>724</v>
      </c>
      <c r="F370" s="35">
        <v>95000</v>
      </c>
      <c r="G370" s="40">
        <v>95000</v>
      </c>
      <c r="H370" s="35">
        <v>0</v>
      </c>
      <c r="I370" s="35">
        <f t="shared" si="12"/>
        <v>95000</v>
      </c>
      <c r="J370" s="36">
        <f t="shared" si="13"/>
        <v>0</v>
      </c>
      <c r="K370" s="48" t="s">
        <v>37</v>
      </c>
      <c r="L370" s="48" t="s">
        <v>42</v>
      </c>
      <c r="M370" s="38">
        <v>41455</v>
      </c>
      <c r="N370" s="37"/>
      <c r="O370" s="35">
        <v>95000</v>
      </c>
      <c r="P370" s="35"/>
      <c r="Q370" s="35"/>
    </row>
    <row r="371" spans="1:17" s="15" customFormat="1" ht="26.25" customHeight="1" x14ac:dyDescent="0.2">
      <c r="A371" s="43" t="s">
        <v>1345</v>
      </c>
      <c r="B371" s="46" t="s">
        <v>49</v>
      </c>
      <c r="C371" s="44" t="s">
        <v>1350</v>
      </c>
      <c r="D371" s="47">
        <v>6021</v>
      </c>
      <c r="E371" s="46" t="s">
        <v>1355</v>
      </c>
      <c r="F371" s="35">
        <v>25000</v>
      </c>
      <c r="G371" s="40">
        <v>25000</v>
      </c>
      <c r="H371" s="35">
        <v>0</v>
      </c>
      <c r="I371" s="35">
        <f t="shared" si="12"/>
        <v>25000</v>
      </c>
      <c r="J371" s="36">
        <f t="shared" si="13"/>
        <v>0</v>
      </c>
      <c r="K371" s="48" t="s">
        <v>37</v>
      </c>
      <c r="L371" s="48" t="s">
        <v>37</v>
      </c>
      <c r="M371" s="38">
        <v>41547</v>
      </c>
      <c r="N371" s="48"/>
      <c r="O371" s="35">
        <v>25000</v>
      </c>
      <c r="P371" s="35"/>
      <c r="Q371" s="35"/>
    </row>
    <row r="372" spans="1:17" s="15" customFormat="1" ht="38.25" customHeight="1" x14ac:dyDescent="0.2">
      <c r="A372" s="43" t="s">
        <v>1388</v>
      </c>
      <c r="B372" s="46" t="s">
        <v>49</v>
      </c>
      <c r="C372" s="44" t="s">
        <v>1395</v>
      </c>
      <c r="D372" s="47">
        <v>6192</v>
      </c>
      <c r="E372" s="46" t="s">
        <v>1404</v>
      </c>
      <c r="F372" s="35">
        <f>45000*3</f>
        <v>135000</v>
      </c>
      <c r="G372" s="40">
        <f>45000*3</f>
        <v>135000</v>
      </c>
      <c r="H372" s="35">
        <v>0</v>
      </c>
      <c r="I372" s="35">
        <f t="shared" si="12"/>
        <v>135000</v>
      </c>
      <c r="J372" s="36">
        <f t="shared" si="13"/>
        <v>0</v>
      </c>
      <c r="K372" s="48" t="s">
        <v>37</v>
      </c>
      <c r="L372" s="48" t="s">
        <v>42</v>
      </c>
      <c r="M372" s="38">
        <v>41820</v>
      </c>
      <c r="N372" s="48" t="s">
        <v>64</v>
      </c>
      <c r="O372" s="35">
        <v>45000</v>
      </c>
      <c r="P372" s="35">
        <v>45000</v>
      </c>
      <c r="Q372" s="35">
        <v>45000</v>
      </c>
    </row>
    <row r="373" spans="1:17" s="15" customFormat="1" ht="26.25" customHeight="1" x14ac:dyDescent="0.2">
      <c r="A373" s="43" t="s">
        <v>1390</v>
      </c>
      <c r="B373" s="46" t="s">
        <v>49</v>
      </c>
      <c r="C373" s="44" t="s">
        <v>1397</v>
      </c>
      <c r="D373" s="47">
        <v>6246</v>
      </c>
      <c r="E373" s="46" t="s">
        <v>1406</v>
      </c>
      <c r="F373" s="35">
        <f>7022*2</f>
        <v>14044</v>
      </c>
      <c r="G373" s="40">
        <f>7022*2</f>
        <v>14044</v>
      </c>
      <c r="H373" s="35">
        <v>0</v>
      </c>
      <c r="I373" s="35">
        <f t="shared" si="12"/>
        <v>14044</v>
      </c>
      <c r="J373" s="36">
        <f t="shared" si="13"/>
        <v>0</v>
      </c>
      <c r="K373" s="48" t="s">
        <v>37</v>
      </c>
      <c r="L373" s="48" t="s">
        <v>37</v>
      </c>
      <c r="M373" s="38">
        <v>41820</v>
      </c>
      <c r="N373" s="48" t="s">
        <v>64</v>
      </c>
      <c r="O373" s="35">
        <v>7022</v>
      </c>
      <c r="P373" s="35">
        <v>7022</v>
      </c>
      <c r="Q373" s="35"/>
    </row>
    <row r="374" spans="1:17" s="15" customFormat="1" ht="26.25" customHeight="1" x14ac:dyDescent="0.2">
      <c r="A374" s="43" t="s">
        <v>132</v>
      </c>
      <c r="B374" s="46" t="s">
        <v>124</v>
      </c>
      <c r="C374" s="44" t="s">
        <v>140</v>
      </c>
      <c r="D374" s="39">
        <v>3873</v>
      </c>
      <c r="E374" s="46" t="s">
        <v>136</v>
      </c>
      <c r="F374" s="35">
        <v>96200</v>
      </c>
      <c r="G374" s="40">
        <v>96200</v>
      </c>
      <c r="H374" s="35">
        <v>0</v>
      </c>
      <c r="I374" s="35">
        <f t="shared" si="12"/>
        <v>96200</v>
      </c>
      <c r="J374" s="36">
        <f t="shared" si="13"/>
        <v>0</v>
      </c>
      <c r="K374" s="48" t="s">
        <v>37</v>
      </c>
      <c r="L374" s="48" t="s">
        <v>37</v>
      </c>
      <c r="M374" s="38">
        <v>41455</v>
      </c>
      <c r="N374" s="37"/>
      <c r="O374" s="41">
        <v>96200</v>
      </c>
      <c r="P374" s="41"/>
      <c r="Q374" s="41"/>
    </row>
    <row r="375" spans="1:17" s="15" customFormat="1" ht="26.25" customHeight="1" x14ac:dyDescent="0.2">
      <c r="A375" s="43" t="s">
        <v>157</v>
      </c>
      <c r="B375" s="46" t="s">
        <v>18</v>
      </c>
      <c r="C375" s="44" t="s">
        <v>210</v>
      </c>
      <c r="D375" s="47">
        <v>3968</v>
      </c>
      <c r="E375" s="46" t="s">
        <v>185</v>
      </c>
      <c r="F375" s="35">
        <v>20000</v>
      </c>
      <c r="G375" s="40">
        <v>20000</v>
      </c>
      <c r="H375" s="35">
        <v>0</v>
      </c>
      <c r="I375" s="35">
        <f t="shared" si="12"/>
        <v>20000</v>
      </c>
      <c r="J375" s="36">
        <f t="shared" si="13"/>
        <v>0</v>
      </c>
      <c r="K375" s="48" t="s">
        <v>37</v>
      </c>
      <c r="L375" s="48" t="s">
        <v>37</v>
      </c>
      <c r="M375" s="38">
        <v>41455</v>
      </c>
      <c r="N375" s="37"/>
      <c r="O375" s="41">
        <v>20000</v>
      </c>
      <c r="P375" s="41"/>
      <c r="Q375" s="41"/>
    </row>
    <row r="376" spans="1:17" s="15" customFormat="1" ht="26.25" customHeight="1" x14ac:dyDescent="0.2">
      <c r="A376" s="43" t="s">
        <v>229</v>
      </c>
      <c r="B376" s="46" t="s">
        <v>18</v>
      </c>
      <c r="C376" s="44" t="s">
        <v>97</v>
      </c>
      <c r="D376" s="34">
        <v>3465</v>
      </c>
      <c r="E376" s="46" t="s">
        <v>247</v>
      </c>
      <c r="F376" s="35">
        <v>49000</v>
      </c>
      <c r="G376" s="40">
        <v>50000</v>
      </c>
      <c r="H376" s="35">
        <v>49000</v>
      </c>
      <c r="I376" s="35">
        <f t="shared" si="12"/>
        <v>99000</v>
      </c>
      <c r="J376" s="36">
        <f t="shared" si="13"/>
        <v>0.98</v>
      </c>
      <c r="K376" s="48" t="s">
        <v>37</v>
      </c>
      <c r="L376" s="48" t="s">
        <v>37</v>
      </c>
      <c r="M376" s="52" t="s">
        <v>69</v>
      </c>
      <c r="N376" s="48" t="s">
        <v>36</v>
      </c>
      <c r="O376" s="41">
        <v>49000</v>
      </c>
      <c r="P376" s="41"/>
      <c r="Q376" s="41"/>
    </row>
    <row r="377" spans="1:17" s="15" customFormat="1" ht="38.25" customHeight="1" x14ac:dyDescent="0.2">
      <c r="A377" s="43" t="s">
        <v>266</v>
      </c>
      <c r="B377" s="46" t="s">
        <v>18</v>
      </c>
      <c r="C377" s="44" t="s">
        <v>293</v>
      </c>
      <c r="D377" s="34">
        <v>4093</v>
      </c>
      <c r="E377" s="46" t="s">
        <v>280</v>
      </c>
      <c r="F377" s="35">
        <v>99000</v>
      </c>
      <c r="G377" s="40">
        <v>99000</v>
      </c>
      <c r="H377" s="35">
        <v>0</v>
      </c>
      <c r="I377" s="35">
        <f t="shared" si="12"/>
        <v>99000</v>
      </c>
      <c r="J377" s="36">
        <f t="shared" si="13"/>
        <v>0</v>
      </c>
      <c r="K377" s="48" t="s">
        <v>37</v>
      </c>
      <c r="L377" s="48" t="s">
        <v>37</v>
      </c>
      <c r="M377" s="52" t="s">
        <v>69</v>
      </c>
      <c r="N377" s="37"/>
      <c r="O377" s="41">
        <v>99000</v>
      </c>
      <c r="P377" s="41"/>
      <c r="Q377" s="41"/>
    </row>
    <row r="378" spans="1:17" s="15" customFormat="1" ht="38.25" customHeight="1" x14ac:dyDescent="0.2">
      <c r="A378" s="43" t="s">
        <v>404</v>
      </c>
      <c r="B378" s="46" t="s">
        <v>18</v>
      </c>
      <c r="C378" s="44" t="s">
        <v>417</v>
      </c>
      <c r="D378" s="34">
        <v>3988</v>
      </c>
      <c r="E378" s="46" t="s">
        <v>435</v>
      </c>
      <c r="F378" s="35">
        <f>21000*3</f>
        <v>63000</v>
      </c>
      <c r="G378" s="40">
        <f>21000*3</f>
        <v>63000</v>
      </c>
      <c r="H378" s="35">
        <v>0</v>
      </c>
      <c r="I378" s="35">
        <f t="shared" si="12"/>
        <v>63000</v>
      </c>
      <c r="J378" s="36">
        <f t="shared" si="13"/>
        <v>0</v>
      </c>
      <c r="K378" s="48" t="s">
        <v>37</v>
      </c>
      <c r="L378" s="48" t="s">
        <v>37</v>
      </c>
      <c r="M378" s="38">
        <v>41455</v>
      </c>
      <c r="N378" s="48" t="s">
        <v>64</v>
      </c>
      <c r="O378" s="41">
        <v>21000</v>
      </c>
      <c r="P378" s="41">
        <v>21000</v>
      </c>
      <c r="Q378" s="41">
        <v>21000</v>
      </c>
    </row>
    <row r="379" spans="1:17" s="15" customFormat="1" ht="26.25" customHeight="1" x14ac:dyDescent="0.2">
      <c r="A379" s="43" t="s">
        <v>658</v>
      </c>
      <c r="B379" s="46" t="s">
        <v>18</v>
      </c>
      <c r="C379" s="44" t="s">
        <v>680</v>
      </c>
      <c r="D379" s="34">
        <v>4640</v>
      </c>
      <c r="E379" s="46" t="s">
        <v>677</v>
      </c>
      <c r="F379" s="35">
        <v>10000</v>
      </c>
      <c r="G379" s="40">
        <v>5000</v>
      </c>
      <c r="H379" s="35">
        <v>10000</v>
      </c>
      <c r="I379" s="35">
        <f t="shared" si="12"/>
        <v>15000</v>
      </c>
      <c r="J379" s="36">
        <f t="shared" si="13"/>
        <v>2</v>
      </c>
      <c r="K379" s="48" t="s">
        <v>37</v>
      </c>
      <c r="L379" s="48" t="s">
        <v>37</v>
      </c>
      <c r="M379" s="52" t="s">
        <v>69</v>
      </c>
      <c r="N379" s="48" t="s">
        <v>36</v>
      </c>
      <c r="O379" s="35">
        <v>10000</v>
      </c>
      <c r="P379" s="35"/>
      <c r="Q379" s="35"/>
    </row>
    <row r="380" spans="1:17" s="15" customFormat="1" ht="26.25" customHeight="1" x14ac:dyDescent="0.2">
      <c r="A380" s="43" t="s">
        <v>610</v>
      </c>
      <c r="B380" s="46" t="s">
        <v>18</v>
      </c>
      <c r="C380" s="44" t="s">
        <v>97</v>
      </c>
      <c r="D380" s="34">
        <v>4600</v>
      </c>
      <c r="E380" s="46" t="s">
        <v>629</v>
      </c>
      <c r="F380" s="35">
        <v>99000</v>
      </c>
      <c r="G380" s="40">
        <v>99000</v>
      </c>
      <c r="H380" s="35">
        <v>0</v>
      </c>
      <c r="I380" s="35">
        <f t="shared" si="12"/>
        <v>99000</v>
      </c>
      <c r="J380" s="36">
        <f t="shared" si="13"/>
        <v>0</v>
      </c>
      <c r="K380" s="48" t="s">
        <v>37</v>
      </c>
      <c r="L380" s="48" t="s">
        <v>37</v>
      </c>
      <c r="M380" s="52" t="s">
        <v>69</v>
      </c>
      <c r="N380" s="48"/>
      <c r="O380" s="35">
        <v>99000</v>
      </c>
      <c r="P380" s="35"/>
      <c r="Q380" s="35"/>
    </row>
    <row r="381" spans="1:17" s="15" customFormat="1" ht="26.25" customHeight="1" x14ac:dyDescent="0.2">
      <c r="A381" s="43" t="s">
        <v>697</v>
      </c>
      <c r="B381" s="46" t="s">
        <v>18</v>
      </c>
      <c r="C381" s="44" t="s">
        <v>712</v>
      </c>
      <c r="D381" s="34">
        <v>4756</v>
      </c>
      <c r="E381" s="46" t="s">
        <v>704</v>
      </c>
      <c r="F381" s="35">
        <v>25000</v>
      </c>
      <c r="G381" s="40">
        <v>5000</v>
      </c>
      <c r="H381" s="35">
        <v>25000</v>
      </c>
      <c r="I381" s="35">
        <f t="shared" si="12"/>
        <v>30000</v>
      </c>
      <c r="J381" s="36">
        <f t="shared" si="13"/>
        <v>5</v>
      </c>
      <c r="K381" s="48" t="s">
        <v>37</v>
      </c>
      <c r="L381" s="48" t="s">
        <v>37</v>
      </c>
      <c r="M381" s="52" t="s">
        <v>69</v>
      </c>
      <c r="N381" s="48" t="s">
        <v>36</v>
      </c>
      <c r="O381" s="35">
        <v>25000</v>
      </c>
      <c r="P381" s="35"/>
      <c r="Q381" s="35"/>
    </row>
    <row r="382" spans="1:17" s="15" customFormat="1" ht="18" customHeight="1" x14ac:dyDescent="0.2">
      <c r="A382" s="43" t="s">
        <v>698</v>
      </c>
      <c r="B382" s="46" t="s">
        <v>18</v>
      </c>
      <c r="C382" s="44" t="s">
        <v>713</v>
      </c>
      <c r="D382" s="34">
        <v>4775</v>
      </c>
      <c r="E382" s="46" t="s">
        <v>705</v>
      </c>
      <c r="F382" s="35">
        <v>15000</v>
      </c>
      <c r="G382" s="40">
        <v>5000</v>
      </c>
      <c r="H382" s="35">
        <v>15000</v>
      </c>
      <c r="I382" s="35">
        <f t="shared" si="12"/>
        <v>20000</v>
      </c>
      <c r="J382" s="36">
        <f t="shared" si="13"/>
        <v>3</v>
      </c>
      <c r="K382" s="48" t="s">
        <v>37</v>
      </c>
      <c r="L382" s="48" t="s">
        <v>37</v>
      </c>
      <c r="M382" s="52" t="s">
        <v>69</v>
      </c>
      <c r="N382" s="48" t="s">
        <v>36</v>
      </c>
      <c r="O382" s="35">
        <v>15000</v>
      </c>
      <c r="P382" s="35"/>
      <c r="Q382" s="35"/>
    </row>
    <row r="383" spans="1:17" s="15" customFormat="1" ht="26.25" customHeight="1" x14ac:dyDescent="0.2">
      <c r="A383" s="43" t="s">
        <v>714</v>
      </c>
      <c r="B383" s="46" t="s">
        <v>18</v>
      </c>
      <c r="C383" s="44" t="s">
        <v>97</v>
      </c>
      <c r="D383" s="34">
        <v>4580</v>
      </c>
      <c r="E383" s="46" t="s">
        <v>723</v>
      </c>
      <c r="F383" s="35">
        <v>50000</v>
      </c>
      <c r="G383" s="40">
        <v>50000</v>
      </c>
      <c r="H383" s="35">
        <v>50000</v>
      </c>
      <c r="I383" s="35">
        <f t="shared" si="12"/>
        <v>100000</v>
      </c>
      <c r="J383" s="36">
        <f t="shared" si="13"/>
        <v>1</v>
      </c>
      <c r="K383" s="48" t="s">
        <v>37</v>
      </c>
      <c r="L383" s="48" t="s">
        <v>37</v>
      </c>
      <c r="M383" s="52" t="s">
        <v>69</v>
      </c>
      <c r="N383" s="48" t="s">
        <v>36</v>
      </c>
      <c r="O383" s="35">
        <v>50000</v>
      </c>
      <c r="P383" s="35"/>
      <c r="Q383" s="35"/>
    </row>
    <row r="384" spans="1:17" s="15" customFormat="1" ht="26.25" customHeight="1" x14ac:dyDescent="0.2">
      <c r="A384" s="43" t="s">
        <v>738</v>
      </c>
      <c r="B384" s="46" t="s">
        <v>18</v>
      </c>
      <c r="C384" s="44" t="s">
        <v>97</v>
      </c>
      <c r="D384" s="34">
        <v>4625</v>
      </c>
      <c r="E384" s="46" t="s">
        <v>749</v>
      </c>
      <c r="F384" s="35">
        <v>10000</v>
      </c>
      <c r="G384" s="40">
        <v>5000</v>
      </c>
      <c r="H384" s="35">
        <v>10000</v>
      </c>
      <c r="I384" s="35">
        <f t="shared" ref="I384:I447" si="14">G384+H384</f>
        <v>15000</v>
      </c>
      <c r="J384" s="36">
        <f t="shared" ref="J384:J447" si="15">IF(G384=0,100%,(I384-G384)/G384)</f>
        <v>2</v>
      </c>
      <c r="K384" s="48" t="s">
        <v>37</v>
      </c>
      <c r="L384" s="48" t="s">
        <v>37</v>
      </c>
      <c r="M384" s="52" t="s">
        <v>69</v>
      </c>
      <c r="N384" s="48" t="s">
        <v>36</v>
      </c>
      <c r="O384" s="35">
        <v>10000</v>
      </c>
      <c r="P384" s="35"/>
      <c r="Q384" s="35"/>
    </row>
    <row r="385" spans="1:17" s="15" customFormat="1" ht="26.25" customHeight="1" x14ac:dyDescent="0.2">
      <c r="A385" s="43" t="s">
        <v>900</v>
      </c>
      <c r="B385" s="46" t="s">
        <v>18</v>
      </c>
      <c r="C385" s="44" t="s">
        <v>713</v>
      </c>
      <c r="D385" s="34">
        <v>5087</v>
      </c>
      <c r="E385" s="46" t="s">
        <v>916</v>
      </c>
      <c r="F385" s="35">
        <v>10000</v>
      </c>
      <c r="G385" s="40">
        <v>5000</v>
      </c>
      <c r="H385" s="35">
        <f>15000+10000</f>
        <v>25000</v>
      </c>
      <c r="I385" s="35">
        <f t="shared" si="14"/>
        <v>30000</v>
      </c>
      <c r="J385" s="36">
        <f t="shared" si="15"/>
        <v>5</v>
      </c>
      <c r="K385" s="48" t="s">
        <v>37</v>
      </c>
      <c r="L385" s="48" t="s">
        <v>37</v>
      </c>
      <c r="M385" s="52" t="s">
        <v>69</v>
      </c>
      <c r="N385" s="48" t="s">
        <v>36</v>
      </c>
      <c r="O385" s="35">
        <v>10000</v>
      </c>
      <c r="P385" s="35"/>
      <c r="Q385" s="35"/>
    </row>
    <row r="386" spans="1:17" s="15" customFormat="1" ht="26.25" customHeight="1" x14ac:dyDescent="0.2">
      <c r="A386" s="43" t="s">
        <v>921</v>
      </c>
      <c r="B386" s="46" t="s">
        <v>18</v>
      </c>
      <c r="C386" s="44" t="s">
        <v>926</v>
      </c>
      <c r="D386" s="34">
        <v>5019</v>
      </c>
      <c r="E386" s="46" t="s">
        <v>931</v>
      </c>
      <c r="F386" s="35">
        <v>20000</v>
      </c>
      <c r="G386" s="40">
        <v>4999</v>
      </c>
      <c r="H386" s="35">
        <f>10000+20000</f>
        <v>30000</v>
      </c>
      <c r="I386" s="35">
        <f t="shared" si="14"/>
        <v>34999</v>
      </c>
      <c r="J386" s="36">
        <f t="shared" si="15"/>
        <v>6.0012002400480098</v>
      </c>
      <c r="K386" s="48" t="s">
        <v>37</v>
      </c>
      <c r="L386" s="48" t="s">
        <v>37</v>
      </c>
      <c r="M386" s="52" t="s">
        <v>69</v>
      </c>
      <c r="N386" s="48" t="s">
        <v>36</v>
      </c>
      <c r="O386" s="35">
        <v>20000</v>
      </c>
      <c r="P386" s="35"/>
      <c r="Q386" s="35"/>
    </row>
    <row r="387" spans="1:17" s="15" customFormat="1" ht="26.25" customHeight="1" x14ac:dyDescent="0.2">
      <c r="A387" s="43" t="s">
        <v>955</v>
      </c>
      <c r="B387" s="46" t="s">
        <v>18</v>
      </c>
      <c r="C387" s="44" t="s">
        <v>680</v>
      </c>
      <c r="D387" s="34">
        <v>5023</v>
      </c>
      <c r="E387" s="46" t="s">
        <v>961</v>
      </c>
      <c r="F387" s="35">
        <v>10000</v>
      </c>
      <c r="G387" s="40">
        <v>5000</v>
      </c>
      <c r="H387" s="35">
        <f>10000+10000</f>
        <v>20000</v>
      </c>
      <c r="I387" s="35">
        <f t="shared" si="14"/>
        <v>25000</v>
      </c>
      <c r="J387" s="36">
        <f t="shared" si="15"/>
        <v>4</v>
      </c>
      <c r="K387" s="48" t="s">
        <v>37</v>
      </c>
      <c r="L387" s="48" t="s">
        <v>37</v>
      </c>
      <c r="M387" s="52" t="s">
        <v>69</v>
      </c>
      <c r="N387" s="48" t="s">
        <v>36</v>
      </c>
      <c r="O387" s="35">
        <v>10000</v>
      </c>
      <c r="P387" s="35"/>
      <c r="Q387" s="35"/>
    </row>
    <row r="388" spans="1:17" s="15" customFormat="1" ht="26.25" customHeight="1" x14ac:dyDescent="0.2">
      <c r="A388" s="43" t="s">
        <v>956</v>
      </c>
      <c r="B388" s="46" t="s">
        <v>18</v>
      </c>
      <c r="C388" s="44" t="s">
        <v>966</v>
      </c>
      <c r="D388" s="34">
        <v>4965</v>
      </c>
      <c r="E388" s="46" t="s">
        <v>962</v>
      </c>
      <c r="F388" s="35">
        <v>20000</v>
      </c>
      <c r="G388" s="40">
        <v>5000</v>
      </c>
      <c r="H388" s="35">
        <v>20000</v>
      </c>
      <c r="I388" s="35">
        <f t="shared" si="14"/>
        <v>25000</v>
      </c>
      <c r="J388" s="36">
        <f t="shared" si="15"/>
        <v>4</v>
      </c>
      <c r="K388" s="48" t="s">
        <v>37</v>
      </c>
      <c r="L388" s="48" t="s">
        <v>37</v>
      </c>
      <c r="M388" s="52" t="s">
        <v>69</v>
      </c>
      <c r="N388" s="48" t="s">
        <v>36</v>
      </c>
      <c r="O388" s="35">
        <v>20000</v>
      </c>
      <c r="P388" s="35"/>
      <c r="Q388" s="35"/>
    </row>
    <row r="389" spans="1:17" s="15" customFormat="1" ht="26.25" customHeight="1" x14ac:dyDescent="0.2">
      <c r="A389" s="43" t="s">
        <v>957</v>
      </c>
      <c r="B389" s="46" t="s">
        <v>18</v>
      </c>
      <c r="C389" s="44" t="s">
        <v>967</v>
      </c>
      <c r="D389" s="34">
        <v>4962</v>
      </c>
      <c r="E389" s="46" t="s">
        <v>962</v>
      </c>
      <c r="F389" s="35">
        <v>15000</v>
      </c>
      <c r="G389" s="40">
        <v>5000</v>
      </c>
      <c r="H389" s="35">
        <v>15000</v>
      </c>
      <c r="I389" s="35">
        <f t="shared" si="14"/>
        <v>20000</v>
      </c>
      <c r="J389" s="36">
        <f t="shared" si="15"/>
        <v>3</v>
      </c>
      <c r="K389" s="48" t="s">
        <v>37</v>
      </c>
      <c r="L389" s="48" t="s">
        <v>37</v>
      </c>
      <c r="M389" s="52" t="s">
        <v>69</v>
      </c>
      <c r="N389" s="48" t="s">
        <v>36</v>
      </c>
      <c r="O389" s="35">
        <v>15000</v>
      </c>
      <c r="P389" s="35"/>
      <c r="Q389" s="35"/>
    </row>
    <row r="390" spans="1:17" s="15" customFormat="1" ht="26.25" customHeight="1" x14ac:dyDescent="0.2">
      <c r="A390" s="43" t="s">
        <v>1008</v>
      </c>
      <c r="B390" s="46" t="s">
        <v>18</v>
      </c>
      <c r="C390" s="44" t="s">
        <v>1013</v>
      </c>
      <c r="D390" s="34">
        <v>5187</v>
      </c>
      <c r="E390" s="46" t="s">
        <v>1018</v>
      </c>
      <c r="F390" s="35">
        <v>15000</v>
      </c>
      <c r="G390" s="40">
        <v>10000</v>
      </c>
      <c r="H390" s="35">
        <f>5000*3+15000</f>
        <v>30000</v>
      </c>
      <c r="I390" s="35">
        <f t="shared" si="14"/>
        <v>40000</v>
      </c>
      <c r="J390" s="36">
        <f t="shared" si="15"/>
        <v>3</v>
      </c>
      <c r="K390" s="48" t="s">
        <v>37</v>
      </c>
      <c r="L390" s="48" t="s">
        <v>37</v>
      </c>
      <c r="M390" s="52" t="s">
        <v>69</v>
      </c>
      <c r="N390" s="48" t="s">
        <v>36</v>
      </c>
      <c r="O390" s="35">
        <v>15000</v>
      </c>
      <c r="P390" s="35"/>
      <c r="Q390" s="35"/>
    </row>
    <row r="391" spans="1:17" s="15" customFormat="1" ht="26.25" customHeight="1" x14ac:dyDescent="0.2">
      <c r="A391" s="43" t="s">
        <v>1009</v>
      </c>
      <c r="B391" s="46" t="s">
        <v>18</v>
      </c>
      <c r="C391" s="44" t="s">
        <v>97</v>
      </c>
      <c r="D391" s="34">
        <v>5158</v>
      </c>
      <c r="E391" s="46" t="s">
        <v>1019</v>
      </c>
      <c r="F391" s="35">
        <v>25000</v>
      </c>
      <c r="G391" s="40">
        <v>5000</v>
      </c>
      <c r="H391" s="35">
        <f>10000+25000</f>
        <v>35000</v>
      </c>
      <c r="I391" s="35">
        <f t="shared" si="14"/>
        <v>40000</v>
      </c>
      <c r="J391" s="36">
        <f t="shared" si="15"/>
        <v>7</v>
      </c>
      <c r="K391" s="48" t="s">
        <v>37</v>
      </c>
      <c r="L391" s="48" t="s">
        <v>37</v>
      </c>
      <c r="M391" s="52" t="s">
        <v>69</v>
      </c>
      <c r="N391" s="48" t="s">
        <v>36</v>
      </c>
      <c r="O391" s="35">
        <v>25000</v>
      </c>
      <c r="P391" s="35"/>
      <c r="Q391" s="35"/>
    </row>
    <row r="392" spans="1:17" s="15" customFormat="1" ht="38.25" customHeight="1" x14ac:dyDescent="0.2">
      <c r="A392" s="43" t="s">
        <v>1108</v>
      </c>
      <c r="B392" s="46" t="s">
        <v>18</v>
      </c>
      <c r="C392" s="44" t="s">
        <v>966</v>
      </c>
      <c r="D392" s="34">
        <v>5505</v>
      </c>
      <c r="E392" s="46" t="s">
        <v>1123</v>
      </c>
      <c r="F392" s="35">
        <v>15000</v>
      </c>
      <c r="G392" s="40">
        <v>5000</v>
      </c>
      <c r="H392" s="35">
        <v>15000</v>
      </c>
      <c r="I392" s="35">
        <f t="shared" si="14"/>
        <v>20000</v>
      </c>
      <c r="J392" s="36">
        <f t="shared" si="15"/>
        <v>3</v>
      </c>
      <c r="K392" s="48" t="s">
        <v>37</v>
      </c>
      <c r="L392" s="48" t="s">
        <v>37</v>
      </c>
      <c r="M392" s="52" t="s">
        <v>69</v>
      </c>
      <c r="N392" s="48" t="s">
        <v>36</v>
      </c>
      <c r="O392" s="35">
        <v>15000</v>
      </c>
      <c r="P392" s="35"/>
      <c r="Q392" s="35"/>
    </row>
    <row r="393" spans="1:17" s="15" customFormat="1" ht="26.25" customHeight="1" x14ac:dyDescent="0.2">
      <c r="A393" s="43" t="s">
        <v>1186</v>
      </c>
      <c r="B393" s="46" t="s">
        <v>18</v>
      </c>
      <c r="C393" s="44" t="s">
        <v>1193</v>
      </c>
      <c r="D393" s="47" t="s">
        <v>1199</v>
      </c>
      <c r="E393" s="46" t="s">
        <v>1201</v>
      </c>
      <c r="F393" s="35">
        <v>30000</v>
      </c>
      <c r="G393" s="40">
        <v>10000</v>
      </c>
      <c r="H393" s="35">
        <f>143000+30000</f>
        <v>173000</v>
      </c>
      <c r="I393" s="35">
        <f t="shared" si="14"/>
        <v>183000</v>
      </c>
      <c r="J393" s="36">
        <f t="shared" si="15"/>
        <v>17.3</v>
      </c>
      <c r="K393" s="48" t="s">
        <v>37</v>
      </c>
      <c r="L393" s="48" t="s">
        <v>37</v>
      </c>
      <c r="M393" s="52" t="s">
        <v>69</v>
      </c>
      <c r="N393" s="48" t="s">
        <v>36</v>
      </c>
      <c r="O393" s="35">
        <v>30000</v>
      </c>
      <c r="P393" s="35"/>
      <c r="Q393" s="35"/>
    </row>
    <row r="394" spans="1:17" s="15" customFormat="1" ht="26.25" customHeight="1" x14ac:dyDescent="0.2">
      <c r="A394" s="43" t="s">
        <v>1207</v>
      </c>
      <c r="B394" s="46" t="s">
        <v>18</v>
      </c>
      <c r="C394" s="44" t="s">
        <v>713</v>
      </c>
      <c r="D394" s="47" t="s">
        <v>1215</v>
      </c>
      <c r="E394" s="46" t="s">
        <v>705</v>
      </c>
      <c r="F394" s="35">
        <v>17500</v>
      </c>
      <c r="G394" s="40">
        <v>5000</v>
      </c>
      <c r="H394" s="35">
        <f>15000+10000+17500</f>
        <v>42500</v>
      </c>
      <c r="I394" s="35">
        <f t="shared" si="14"/>
        <v>47500</v>
      </c>
      <c r="J394" s="36">
        <f t="shared" si="15"/>
        <v>8.5</v>
      </c>
      <c r="K394" s="48" t="s">
        <v>37</v>
      </c>
      <c r="L394" s="48" t="s">
        <v>37</v>
      </c>
      <c r="M394" s="52" t="s">
        <v>69</v>
      </c>
      <c r="N394" s="48" t="s">
        <v>36</v>
      </c>
      <c r="O394" s="35">
        <v>17500</v>
      </c>
      <c r="P394" s="35"/>
      <c r="Q394" s="35"/>
    </row>
    <row r="395" spans="1:17" s="15" customFormat="1" ht="26.25" customHeight="1" x14ac:dyDescent="0.2">
      <c r="A395" s="43" t="s">
        <v>1294</v>
      </c>
      <c r="B395" s="46" t="s">
        <v>18</v>
      </c>
      <c r="C395" s="44" t="s">
        <v>1299</v>
      </c>
      <c r="D395" s="47" t="s">
        <v>1307</v>
      </c>
      <c r="E395" s="46" t="s">
        <v>1313</v>
      </c>
      <c r="F395" s="35">
        <v>15000</v>
      </c>
      <c r="G395" s="40">
        <v>5000</v>
      </c>
      <c r="H395" s="35">
        <v>15000</v>
      </c>
      <c r="I395" s="35">
        <f t="shared" si="14"/>
        <v>20000</v>
      </c>
      <c r="J395" s="36">
        <f t="shared" si="15"/>
        <v>3</v>
      </c>
      <c r="K395" s="48" t="s">
        <v>37</v>
      </c>
      <c r="L395" s="48" t="s">
        <v>37</v>
      </c>
      <c r="M395" s="52" t="s">
        <v>69</v>
      </c>
      <c r="N395" s="48" t="s">
        <v>36</v>
      </c>
      <c r="O395" s="35">
        <v>15000</v>
      </c>
      <c r="P395" s="35"/>
      <c r="Q395" s="35"/>
    </row>
    <row r="396" spans="1:17" s="15" customFormat="1" ht="26.25" customHeight="1" x14ac:dyDescent="0.2">
      <c r="A396" s="43" t="s">
        <v>1295</v>
      </c>
      <c r="B396" s="46" t="s">
        <v>18</v>
      </c>
      <c r="C396" s="44" t="s">
        <v>1300</v>
      </c>
      <c r="D396" s="47" t="s">
        <v>1308</v>
      </c>
      <c r="E396" s="46" t="s">
        <v>1314</v>
      </c>
      <c r="F396" s="35">
        <v>15000</v>
      </c>
      <c r="G396" s="40">
        <v>10000</v>
      </c>
      <c r="H396" s="35">
        <f>30000+15000</f>
        <v>45000</v>
      </c>
      <c r="I396" s="35">
        <f t="shared" si="14"/>
        <v>55000</v>
      </c>
      <c r="J396" s="36">
        <f t="shared" si="15"/>
        <v>4.5</v>
      </c>
      <c r="K396" s="48" t="s">
        <v>37</v>
      </c>
      <c r="L396" s="48" t="s">
        <v>37</v>
      </c>
      <c r="M396" s="52" t="s">
        <v>69</v>
      </c>
      <c r="N396" s="48" t="s">
        <v>36</v>
      </c>
      <c r="O396" s="35">
        <v>15000</v>
      </c>
      <c r="P396" s="35"/>
      <c r="Q396" s="35"/>
    </row>
    <row r="397" spans="1:17" s="15" customFormat="1" ht="26.25" customHeight="1" x14ac:dyDescent="0.2">
      <c r="A397" s="43" t="s">
        <v>1387</v>
      </c>
      <c r="B397" s="46" t="s">
        <v>18</v>
      </c>
      <c r="C397" s="44" t="s">
        <v>1394</v>
      </c>
      <c r="D397" s="47" t="s">
        <v>1399</v>
      </c>
      <c r="E397" s="46" t="s">
        <v>1403</v>
      </c>
      <c r="F397" s="35">
        <v>15000</v>
      </c>
      <c r="G397" s="40">
        <v>5000</v>
      </c>
      <c r="H397" s="35">
        <v>15000</v>
      </c>
      <c r="I397" s="35">
        <f t="shared" si="14"/>
        <v>20000</v>
      </c>
      <c r="J397" s="36">
        <f t="shared" si="15"/>
        <v>3</v>
      </c>
      <c r="K397" s="48" t="s">
        <v>37</v>
      </c>
      <c r="L397" s="48" t="s">
        <v>37</v>
      </c>
      <c r="M397" s="52" t="s">
        <v>69</v>
      </c>
      <c r="N397" s="48" t="s">
        <v>36</v>
      </c>
      <c r="O397" s="49">
        <v>15000</v>
      </c>
      <c r="P397" s="35"/>
      <c r="Q397" s="35"/>
    </row>
    <row r="398" spans="1:17" s="15" customFormat="1" ht="26.25" customHeight="1" x14ac:dyDescent="0.2">
      <c r="A398" s="43" t="s">
        <v>1389</v>
      </c>
      <c r="B398" s="46" t="s">
        <v>18</v>
      </c>
      <c r="C398" s="44" t="s">
        <v>1396</v>
      </c>
      <c r="D398" s="47" t="s">
        <v>1400</v>
      </c>
      <c r="E398" s="46" t="s">
        <v>1405</v>
      </c>
      <c r="F398" s="35">
        <v>20000</v>
      </c>
      <c r="G398" s="40">
        <v>5000</v>
      </c>
      <c r="H398" s="35">
        <v>20000</v>
      </c>
      <c r="I398" s="35">
        <f t="shared" si="14"/>
        <v>25000</v>
      </c>
      <c r="J398" s="36">
        <f t="shared" si="15"/>
        <v>4</v>
      </c>
      <c r="K398" s="48" t="s">
        <v>37</v>
      </c>
      <c r="L398" s="48" t="s">
        <v>37</v>
      </c>
      <c r="M398" s="52" t="s">
        <v>69</v>
      </c>
      <c r="N398" s="48" t="s">
        <v>36</v>
      </c>
      <c r="O398" s="35">
        <v>20000</v>
      </c>
      <c r="P398" s="35"/>
      <c r="Q398" s="35"/>
    </row>
    <row r="399" spans="1:17" s="15" customFormat="1" ht="26.25" customHeight="1" x14ac:dyDescent="0.2">
      <c r="A399" s="43" t="s">
        <v>1427</v>
      </c>
      <c r="B399" s="46" t="s">
        <v>18</v>
      </c>
      <c r="C399" s="44" t="s">
        <v>1429</v>
      </c>
      <c r="D399" s="47" t="s">
        <v>41</v>
      </c>
      <c r="E399" s="46" t="s">
        <v>1431</v>
      </c>
      <c r="F399" s="35">
        <v>99000</v>
      </c>
      <c r="G399" s="40">
        <v>95000</v>
      </c>
      <c r="H399" s="35">
        <f>215000+99000</f>
        <v>314000</v>
      </c>
      <c r="I399" s="35">
        <f t="shared" si="14"/>
        <v>409000</v>
      </c>
      <c r="J399" s="36">
        <f t="shared" si="15"/>
        <v>3.3052631578947369</v>
      </c>
      <c r="K399" s="48" t="s">
        <v>37</v>
      </c>
      <c r="L399" s="48" t="s">
        <v>37</v>
      </c>
      <c r="M399" s="52" t="s">
        <v>69</v>
      </c>
      <c r="N399" s="48" t="s">
        <v>36</v>
      </c>
      <c r="O399" s="35">
        <v>99000</v>
      </c>
      <c r="P399" s="35"/>
      <c r="Q399" s="35"/>
    </row>
    <row r="400" spans="1:17" s="15" customFormat="1" ht="26.25" customHeight="1" x14ac:dyDescent="0.2">
      <c r="A400" s="43" t="s">
        <v>599</v>
      </c>
      <c r="B400" s="46" t="s">
        <v>80</v>
      </c>
      <c r="C400" s="44" t="s">
        <v>289</v>
      </c>
      <c r="D400" s="34">
        <v>4577</v>
      </c>
      <c r="E400" s="46" t="s">
        <v>662</v>
      </c>
      <c r="F400" s="35">
        <f>25000*2</f>
        <v>50000</v>
      </c>
      <c r="G400" s="40">
        <f>25000*2</f>
        <v>50000</v>
      </c>
      <c r="H400" s="35">
        <v>0</v>
      </c>
      <c r="I400" s="35">
        <f t="shared" si="14"/>
        <v>50000</v>
      </c>
      <c r="J400" s="36">
        <f t="shared" si="15"/>
        <v>0</v>
      </c>
      <c r="K400" s="48" t="s">
        <v>37</v>
      </c>
      <c r="L400" s="48" t="s">
        <v>37</v>
      </c>
      <c r="M400" s="38">
        <v>41455</v>
      </c>
      <c r="N400" s="48" t="s">
        <v>64</v>
      </c>
      <c r="O400" s="35">
        <v>25000</v>
      </c>
      <c r="P400" s="35">
        <v>25000</v>
      </c>
      <c r="Q400" s="35"/>
    </row>
    <row r="401" spans="1:17" s="15" customFormat="1" ht="26.25" customHeight="1" x14ac:dyDescent="0.2">
      <c r="A401" s="43" t="s">
        <v>935</v>
      </c>
      <c r="B401" s="46" t="s">
        <v>80</v>
      </c>
      <c r="C401" s="44" t="s">
        <v>942</v>
      </c>
      <c r="D401" s="34">
        <v>5119</v>
      </c>
      <c r="E401" s="46" t="s">
        <v>949</v>
      </c>
      <c r="F401" s="35">
        <v>96000</v>
      </c>
      <c r="G401" s="40">
        <v>96000</v>
      </c>
      <c r="H401" s="35">
        <v>0</v>
      </c>
      <c r="I401" s="35">
        <f t="shared" si="14"/>
        <v>96000</v>
      </c>
      <c r="J401" s="36">
        <f t="shared" si="15"/>
        <v>0</v>
      </c>
      <c r="K401" s="48" t="s">
        <v>37</v>
      </c>
      <c r="L401" s="48" t="s">
        <v>37</v>
      </c>
      <c r="M401" s="38">
        <v>41455</v>
      </c>
      <c r="N401" s="37"/>
      <c r="O401" s="35">
        <v>96000</v>
      </c>
      <c r="P401" s="35"/>
      <c r="Q401" s="35"/>
    </row>
    <row r="402" spans="1:17" s="15" customFormat="1" ht="38.25" customHeight="1" x14ac:dyDescent="0.2">
      <c r="A402" s="43" t="s">
        <v>939</v>
      </c>
      <c r="B402" s="46" t="s">
        <v>80</v>
      </c>
      <c r="C402" s="44" t="s">
        <v>946</v>
      </c>
      <c r="D402" s="34">
        <v>4571</v>
      </c>
      <c r="E402" s="46" t="s">
        <v>952</v>
      </c>
      <c r="F402" s="35">
        <v>60000</v>
      </c>
      <c r="G402" s="40">
        <v>60000</v>
      </c>
      <c r="H402" s="35">
        <v>0</v>
      </c>
      <c r="I402" s="35">
        <f t="shared" si="14"/>
        <v>60000</v>
      </c>
      <c r="J402" s="36">
        <f t="shared" si="15"/>
        <v>0</v>
      </c>
      <c r="K402" s="48" t="s">
        <v>37</v>
      </c>
      <c r="L402" s="48" t="s">
        <v>37</v>
      </c>
      <c r="M402" s="38">
        <v>41364</v>
      </c>
      <c r="N402" s="37"/>
      <c r="O402" s="35">
        <v>60000</v>
      </c>
      <c r="P402" s="35"/>
      <c r="Q402" s="35"/>
    </row>
    <row r="403" spans="1:17" s="15" customFormat="1" ht="26.25" customHeight="1" x14ac:dyDescent="0.2">
      <c r="A403" s="43" t="s">
        <v>1020</v>
      </c>
      <c r="B403" s="46" t="s">
        <v>80</v>
      </c>
      <c r="C403" s="44" t="s">
        <v>1025</v>
      </c>
      <c r="D403" s="47" t="s">
        <v>41</v>
      </c>
      <c r="E403" s="46" t="s">
        <v>1030</v>
      </c>
      <c r="F403" s="35">
        <v>49980</v>
      </c>
      <c r="G403" s="40">
        <v>49980</v>
      </c>
      <c r="H403" s="35">
        <v>0</v>
      </c>
      <c r="I403" s="35">
        <f t="shared" si="14"/>
        <v>49980</v>
      </c>
      <c r="J403" s="36">
        <f t="shared" si="15"/>
        <v>0</v>
      </c>
      <c r="K403" s="48" t="s">
        <v>37</v>
      </c>
      <c r="L403" s="48" t="s">
        <v>37</v>
      </c>
      <c r="M403" s="52">
        <v>41547</v>
      </c>
      <c r="N403" s="48"/>
      <c r="O403" s="35">
        <v>49980</v>
      </c>
      <c r="P403" s="35"/>
      <c r="Q403" s="35"/>
    </row>
    <row r="404" spans="1:17" s="15" customFormat="1" ht="26.25" customHeight="1" x14ac:dyDescent="0.2">
      <c r="A404" s="43" t="s">
        <v>1021</v>
      </c>
      <c r="B404" s="46" t="s">
        <v>80</v>
      </c>
      <c r="C404" s="44" t="s">
        <v>1026</v>
      </c>
      <c r="D404" s="34">
        <v>5231</v>
      </c>
      <c r="E404" s="46" t="s">
        <v>1031</v>
      </c>
      <c r="F404" s="35">
        <v>46800</v>
      </c>
      <c r="G404" s="40">
        <v>46800</v>
      </c>
      <c r="H404" s="35">
        <v>0</v>
      </c>
      <c r="I404" s="35">
        <f t="shared" si="14"/>
        <v>46800</v>
      </c>
      <c r="J404" s="36">
        <f t="shared" si="15"/>
        <v>0</v>
      </c>
      <c r="K404" s="48" t="s">
        <v>37</v>
      </c>
      <c r="L404" s="48" t="s">
        <v>37</v>
      </c>
      <c r="M404" s="52">
        <v>41455</v>
      </c>
      <c r="N404" s="48"/>
      <c r="O404" s="35">
        <v>46800</v>
      </c>
      <c r="P404" s="35"/>
      <c r="Q404" s="35"/>
    </row>
    <row r="405" spans="1:17" s="15" customFormat="1" ht="26.25" customHeight="1" x14ac:dyDescent="0.2">
      <c r="A405" s="43" t="s">
        <v>686</v>
      </c>
      <c r="B405" s="46" t="s">
        <v>687</v>
      </c>
      <c r="C405" s="44" t="s">
        <v>689</v>
      </c>
      <c r="D405" s="34">
        <v>4369</v>
      </c>
      <c r="E405" s="46" t="s">
        <v>685</v>
      </c>
      <c r="F405" s="35">
        <f>93699+46850</f>
        <v>140549</v>
      </c>
      <c r="G405" s="40">
        <f>93699+46850</f>
        <v>140549</v>
      </c>
      <c r="H405" s="35">
        <v>0</v>
      </c>
      <c r="I405" s="35">
        <f t="shared" si="14"/>
        <v>140549</v>
      </c>
      <c r="J405" s="36">
        <f t="shared" si="15"/>
        <v>0</v>
      </c>
      <c r="K405" s="48" t="s">
        <v>37</v>
      </c>
      <c r="L405" s="48" t="s">
        <v>37</v>
      </c>
      <c r="M405" s="38">
        <v>41820</v>
      </c>
      <c r="N405" s="48" t="s">
        <v>64</v>
      </c>
      <c r="O405" s="35">
        <v>93699</v>
      </c>
      <c r="P405" s="35"/>
      <c r="Q405" s="35">
        <v>46850</v>
      </c>
    </row>
    <row r="406" spans="1:17" s="15" customFormat="1" ht="26.25" customHeight="1" x14ac:dyDescent="0.2">
      <c r="A406" s="43" t="s">
        <v>493</v>
      </c>
      <c r="B406" s="46" t="s">
        <v>72</v>
      </c>
      <c r="C406" s="44" t="s">
        <v>73</v>
      </c>
      <c r="D406" s="47">
        <v>4415</v>
      </c>
      <c r="E406" s="46" t="s">
        <v>518</v>
      </c>
      <c r="F406" s="35">
        <v>48000</v>
      </c>
      <c r="G406" s="40">
        <v>48000</v>
      </c>
      <c r="H406" s="35">
        <v>0</v>
      </c>
      <c r="I406" s="35">
        <f t="shared" si="14"/>
        <v>48000</v>
      </c>
      <c r="J406" s="36">
        <f t="shared" si="15"/>
        <v>0</v>
      </c>
      <c r="K406" s="48" t="s">
        <v>37</v>
      </c>
      <c r="L406" s="48" t="s">
        <v>37</v>
      </c>
      <c r="M406" s="38">
        <v>41305</v>
      </c>
      <c r="N406" s="48"/>
      <c r="O406" s="41">
        <v>48000</v>
      </c>
      <c r="P406" s="41"/>
      <c r="Q406" s="41"/>
    </row>
    <row r="407" spans="1:17" s="15" customFormat="1" ht="26.25" customHeight="1" x14ac:dyDescent="0.2">
      <c r="A407" s="43" t="s">
        <v>937</v>
      </c>
      <c r="B407" s="46" t="s">
        <v>72</v>
      </c>
      <c r="C407" s="44" t="s">
        <v>944</v>
      </c>
      <c r="D407" s="34">
        <v>4752</v>
      </c>
      <c r="E407" s="46" t="s">
        <v>950</v>
      </c>
      <c r="F407" s="35">
        <f>64973+7475+7475</f>
        <v>79923</v>
      </c>
      <c r="G407" s="40">
        <f>64973+7475+7475</f>
        <v>79923</v>
      </c>
      <c r="H407" s="35">
        <v>0</v>
      </c>
      <c r="I407" s="35">
        <f t="shared" si="14"/>
        <v>79923</v>
      </c>
      <c r="J407" s="36">
        <f t="shared" si="15"/>
        <v>0</v>
      </c>
      <c r="K407" s="48" t="s">
        <v>37</v>
      </c>
      <c r="L407" s="48" t="s">
        <v>42</v>
      </c>
      <c r="M407" s="38">
        <v>41603</v>
      </c>
      <c r="N407" s="48" t="s">
        <v>64</v>
      </c>
      <c r="O407" s="35">
        <v>64973</v>
      </c>
      <c r="P407" s="35">
        <v>7475</v>
      </c>
      <c r="Q407" s="35">
        <v>7475</v>
      </c>
    </row>
    <row r="408" spans="1:17" s="15" customFormat="1" ht="26.25" customHeight="1" x14ac:dyDescent="0.2">
      <c r="A408" s="43" t="s">
        <v>1222</v>
      </c>
      <c r="B408" s="46" t="s">
        <v>1223</v>
      </c>
      <c r="C408" s="44" t="s">
        <v>1225</v>
      </c>
      <c r="D408" s="47" t="s">
        <v>41</v>
      </c>
      <c r="E408" s="46" t="s">
        <v>1226</v>
      </c>
      <c r="F408" s="35">
        <v>91241</v>
      </c>
      <c r="G408" s="40">
        <v>91241</v>
      </c>
      <c r="H408" s="35">
        <v>0</v>
      </c>
      <c r="I408" s="35">
        <f t="shared" si="14"/>
        <v>91241</v>
      </c>
      <c r="J408" s="36">
        <f t="shared" si="15"/>
        <v>0</v>
      </c>
      <c r="K408" s="48" t="s">
        <v>42</v>
      </c>
      <c r="L408" s="48" t="s">
        <v>42</v>
      </c>
      <c r="M408" s="38">
        <v>42551</v>
      </c>
      <c r="N408" s="48"/>
      <c r="O408" s="35">
        <v>91241</v>
      </c>
      <c r="P408" s="35"/>
      <c r="Q408" s="35"/>
    </row>
    <row r="409" spans="1:17" s="15" customFormat="1" ht="26.25" customHeight="1" x14ac:dyDescent="0.2">
      <c r="A409" s="43" t="s">
        <v>1344</v>
      </c>
      <c r="B409" s="46" t="s">
        <v>1223</v>
      </c>
      <c r="C409" s="44" t="s">
        <v>1225</v>
      </c>
      <c r="D409" s="47">
        <v>5993</v>
      </c>
      <c r="E409" s="46" t="s">
        <v>1354</v>
      </c>
      <c r="F409" s="35">
        <v>17855</v>
      </c>
      <c r="G409" s="40">
        <v>17855</v>
      </c>
      <c r="H409" s="35">
        <v>0</v>
      </c>
      <c r="I409" s="35">
        <f t="shared" si="14"/>
        <v>17855</v>
      </c>
      <c r="J409" s="36">
        <f t="shared" si="15"/>
        <v>0</v>
      </c>
      <c r="K409" s="48" t="s">
        <v>37</v>
      </c>
      <c r="L409" s="48" t="s">
        <v>42</v>
      </c>
      <c r="M409" s="38">
        <v>42551</v>
      </c>
      <c r="N409" s="48"/>
      <c r="O409" s="35">
        <v>17855</v>
      </c>
      <c r="P409" s="35"/>
      <c r="Q409" s="35"/>
    </row>
    <row r="410" spans="1:17" s="15" customFormat="1" ht="38.25" customHeight="1" x14ac:dyDescent="0.2">
      <c r="A410" s="43" t="s">
        <v>1359</v>
      </c>
      <c r="B410" s="46" t="s">
        <v>1361</v>
      </c>
      <c r="C410" s="44" t="s">
        <v>1362</v>
      </c>
      <c r="D410" s="47">
        <v>6180</v>
      </c>
      <c r="E410" s="46" t="s">
        <v>1364</v>
      </c>
      <c r="F410" s="35">
        <v>46000</v>
      </c>
      <c r="G410" s="40">
        <v>46000</v>
      </c>
      <c r="H410" s="35">
        <v>0</v>
      </c>
      <c r="I410" s="35">
        <f t="shared" si="14"/>
        <v>46000</v>
      </c>
      <c r="J410" s="36">
        <f t="shared" si="15"/>
        <v>0</v>
      </c>
      <c r="K410" s="48" t="s">
        <v>37</v>
      </c>
      <c r="L410" s="48" t="s">
        <v>37</v>
      </c>
      <c r="M410" s="38">
        <v>41639</v>
      </c>
      <c r="N410" s="48"/>
      <c r="O410" s="35">
        <v>46000</v>
      </c>
      <c r="P410" s="35"/>
      <c r="Q410" s="35"/>
    </row>
    <row r="411" spans="1:17" s="15" customFormat="1" ht="26.25" customHeight="1" x14ac:dyDescent="0.2">
      <c r="A411" s="43" t="s">
        <v>168</v>
      </c>
      <c r="B411" s="46" t="s">
        <v>19</v>
      </c>
      <c r="C411" s="44" t="s">
        <v>28</v>
      </c>
      <c r="D411" s="34">
        <v>4152</v>
      </c>
      <c r="E411" s="46" t="s">
        <v>196</v>
      </c>
      <c r="F411" s="35">
        <f>15000*3</f>
        <v>45000</v>
      </c>
      <c r="G411" s="40">
        <f>15000*3</f>
        <v>45000</v>
      </c>
      <c r="H411" s="35">
        <v>0</v>
      </c>
      <c r="I411" s="35">
        <f t="shared" si="14"/>
        <v>45000</v>
      </c>
      <c r="J411" s="36">
        <f t="shared" si="15"/>
        <v>0</v>
      </c>
      <c r="K411" s="48" t="s">
        <v>37</v>
      </c>
      <c r="L411" s="48" t="s">
        <v>37</v>
      </c>
      <c r="M411" s="38">
        <v>41455</v>
      </c>
      <c r="N411" s="48" t="s">
        <v>64</v>
      </c>
      <c r="O411" s="41">
        <v>15000</v>
      </c>
      <c r="P411" s="41">
        <v>15000</v>
      </c>
      <c r="Q411" s="41">
        <v>15000</v>
      </c>
    </row>
    <row r="412" spans="1:17" s="15" customFormat="1" ht="26.25" customHeight="1" x14ac:dyDescent="0.2">
      <c r="A412" s="43" t="s">
        <v>169</v>
      </c>
      <c r="B412" s="46" t="s">
        <v>19</v>
      </c>
      <c r="C412" s="44" t="s">
        <v>27</v>
      </c>
      <c r="D412" s="34">
        <v>4153</v>
      </c>
      <c r="E412" s="46" t="s">
        <v>197</v>
      </c>
      <c r="F412" s="35">
        <f>26000*3</f>
        <v>78000</v>
      </c>
      <c r="G412" s="40">
        <f>26000*3</f>
        <v>78000</v>
      </c>
      <c r="H412" s="35">
        <v>0</v>
      </c>
      <c r="I412" s="35">
        <f t="shared" si="14"/>
        <v>78000</v>
      </c>
      <c r="J412" s="36">
        <f t="shared" si="15"/>
        <v>0</v>
      </c>
      <c r="K412" s="48" t="s">
        <v>37</v>
      </c>
      <c r="L412" s="48" t="s">
        <v>37</v>
      </c>
      <c r="M412" s="38">
        <v>41455</v>
      </c>
      <c r="N412" s="48" t="s">
        <v>64</v>
      </c>
      <c r="O412" s="41">
        <v>26000</v>
      </c>
      <c r="P412" s="41">
        <v>26000</v>
      </c>
      <c r="Q412" s="41">
        <v>26000</v>
      </c>
    </row>
    <row r="413" spans="1:17" s="15" customFormat="1" ht="26.25" customHeight="1" x14ac:dyDescent="0.2">
      <c r="A413" s="43" t="s">
        <v>170</v>
      </c>
      <c r="B413" s="46" t="s">
        <v>19</v>
      </c>
      <c r="C413" s="44" t="s">
        <v>215</v>
      </c>
      <c r="D413" s="34">
        <v>4154</v>
      </c>
      <c r="E413" s="46" t="s">
        <v>198</v>
      </c>
      <c r="F413" s="35">
        <f>10000*3</f>
        <v>30000</v>
      </c>
      <c r="G413" s="40">
        <f>10000*3</f>
        <v>30000</v>
      </c>
      <c r="H413" s="35">
        <v>0</v>
      </c>
      <c r="I413" s="35">
        <f t="shared" si="14"/>
        <v>30000</v>
      </c>
      <c r="J413" s="36">
        <f t="shared" si="15"/>
        <v>0</v>
      </c>
      <c r="K413" s="48" t="s">
        <v>37</v>
      </c>
      <c r="L413" s="48" t="s">
        <v>37</v>
      </c>
      <c r="M413" s="38">
        <v>41455</v>
      </c>
      <c r="N413" s="48" t="s">
        <v>64</v>
      </c>
      <c r="O413" s="41">
        <v>10000</v>
      </c>
      <c r="P413" s="41">
        <v>10000</v>
      </c>
      <c r="Q413" s="41">
        <v>10000</v>
      </c>
    </row>
    <row r="414" spans="1:17" s="15" customFormat="1" ht="18" customHeight="1" x14ac:dyDescent="0.2">
      <c r="A414" s="43" t="s">
        <v>767</v>
      </c>
      <c r="B414" s="46" t="s">
        <v>19</v>
      </c>
      <c r="C414" s="44" t="s">
        <v>793</v>
      </c>
      <c r="D414" s="34">
        <v>5017</v>
      </c>
      <c r="E414" s="46" t="s">
        <v>781</v>
      </c>
      <c r="F414" s="35">
        <v>77000</v>
      </c>
      <c r="G414" s="40">
        <v>35700</v>
      </c>
      <c r="H414" s="35">
        <f>9300+77000</f>
        <v>86300</v>
      </c>
      <c r="I414" s="35">
        <f t="shared" si="14"/>
        <v>122000</v>
      </c>
      <c r="J414" s="36">
        <f t="shared" si="15"/>
        <v>2.4173669467787113</v>
      </c>
      <c r="K414" s="48" t="s">
        <v>37</v>
      </c>
      <c r="L414" s="48" t="s">
        <v>42</v>
      </c>
      <c r="M414" s="38">
        <v>42308</v>
      </c>
      <c r="N414" s="48" t="s">
        <v>36</v>
      </c>
      <c r="O414" s="35">
        <v>77000</v>
      </c>
      <c r="P414" s="35"/>
      <c r="Q414" s="35"/>
    </row>
    <row r="415" spans="1:17" s="15" customFormat="1" ht="38.25" customHeight="1" x14ac:dyDescent="0.2">
      <c r="A415" s="43" t="s">
        <v>1304</v>
      </c>
      <c r="B415" s="46" t="s">
        <v>19</v>
      </c>
      <c r="C415" s="44" t="s">
        <v>1305</v>
      </c>
      <c r="D415" s="47" t="s">
        <v>1401</v>
      </c>
      <c r="E415" s="46" t="s">
        <v>1315</v>
      </c>
      <c r="F415" s="35">
        <v>48750</v>
      </c>
      <c r="G415" s="40">
        <v>48750</v>
      </c>
      <c r="H415" s="35">
        <v>0</v>
      </c>
      <c r="I415" s="35">
        <f t="shared" si="14"/>
        <v>48750</v>
      </c>
      <c r="J415" s="36">
        <f t="shared" si="15"/>
        <v>0</v>
      </c>
      <c r="K415" s="48" t="s">
        <v>37</v>
      </c>
      <c r="L415" s="48" t="s">
        <v>37</v>
      </c>
      <c r="M415" s="38">
        <v>41639</v>
      </c>
      <c r="N415" s="48"/>
      <c r="O415" s="35">
        <v>48750</v>
      </c>
      <c r="P415" s="35"/>
      <c r="Q415" s="35"/>
    </row>
    <row r="416" spans="1:17" s="15" customFormat="1" ht="26.25" customHeight="1" x14ac:dyDescent="0.2">
      <c r="A416" s="43" t="s">
        <v>1292</v>
      </c>
      <c r="B416" s="46" t="s">
        <v>1296</v>
      </c>
      <c r="C416" s="44" t="s">
        <v>1297</v>
      </c>
      <c r="D416" s="47">
        <v>5953</v>
      </c>
      <c r="E416" s="46" t="s">
        <v>1311</v>
      </c>
      <c r="F416" s="35">
        <v>44500</v>
      </c>
      <c r="G416" s="40">
        <v>44500</v>
      </c>
      <c r="H416" s="35">
        <v>0</v>
      </c>
      <c r="I416" s="35">
        <f t="shared" si="14"/>
        <v>44500</v>
      </c>
      <c r="J416" s="36">
        <f t="shared" si="15"/>
        <v>0</v>
      </c>
      <c r="K416" s="48" t="s">
        <v>37</v>
      </c>
      <c r="L416" s="48" t="s">
        <v>37</v>
      </c>
      <c r="M416" s="38">
        <v>41455</v>
      </c>
      <c r="N416" s="48"/>
      <c r="O416" s="35">
        <v>44500</v>
      </c>
      <c r="P416" s="35"/>
      <c r="Q416" s="35"/>
    </row>
    <row r="417" spans="1:17" s="15" customFormat="1" ht="18" customHeight="1" x14ac:dyDescent="0.2">
      <c r="A417" s="43" t="s">
        <v>158</v>
      </c>
      <c r="B417" s="46" t="s">
        <v>75</v>
      </c>
      <c r="C417" s="44" t="s">
        <v>211</v>
      </c>
      <c r="D417" s="47">
        <v>3997</v>
      </c>
      <c r="E417" s="46" t="s">
        <v>186</v>
      </c>
      <c r="F417" s="35">
        <v>48810</v>
      </c>
      <c r="G417" s="40">
        <v>48810</v>
      </c>
      <c r="H417" s="35">
        <v>0</v>
      </c>
      <c r="I417" s="35">
        <f t="shared" si="14"/>
        <v>48810</v>
      </c>
      <c r="J417" s="36">
        <f t="shared" si="15"/>
        <v>0</v>
      </c>
      <c r="K417" s="48" t="s">
        <v>37</v>
      </c>
      <c r="L417" s="48" t="s">
        <v>37</v>
      </c>
      <c r="M417" s="38">
        <v>41455</v>
      </c>
      <c r="N417" s="37"/>
      <c r="O417" s="41">
        <v>48810</v>
      </c>
      <c r="P417" s="41"/>
      <c r="Q417" s="41"/>
    </row>
    <row r="418" spans="1:17" s="15" customFormat="1" ht="26.25" customHeight="1" x14ac:dyDescent="0.2">
      <c r="A418" s="43" t="s">
        <v>298</v>
      </c>
      <c r="B418" s="46" t="s">
        <v>75</v>
      </c>
      <c r="C418" s="44" t="s">
        <v>77</v>
      </c>
      <c r="D418" s="34">
        <v>4168</v>
      </c>
      <c r="E418" s="46" t="s">
        <v>79</v>
      </c>
      <c r="F418" s="35">
        <v>45000</v>
      </c>
      <c r="G418" s="40">
        <v>45000</v>
      </c>
      <c r="H418" s="35">
        <v>0</v>
      </c>
      <c r="I418" s="35">
        <f t="shared" si="14"/>
        <v>45000</v>
      </c>
      <c r="J418" s="36">
        <f t="shared" si="15"/>
        <v>0</v>
      </c>
      <c r="K418" s="48" t="s">
        <v>37</v>
      </c>
      <c r="L418" s="48" t="s">
        <v>37</v>
      </c>
      <c r="M418" s="38">
        <v>41455</v>
      </c>
      <c r="N418" s="37"/>
      <c r="O418" s="41">
        <v>45000</v>
      </c>
      <c r="P418" s="41"/>
      <c r="Q418" s="41"/>
    </row>
    <row r="419" spans="1:17" s="15" customFormat="1" ht="26.25" customHeight="1" x14ac:dyDescent="0.2">
      <c r="A419" s="43" t="s">
        <v>601</v>
      </c>
      <c r="B419" s="46" t="s">
        <v>75</v>
      </c>
      <c r="C419" s="44" t="s">
        <v>682</v>
      </c>
      <c r="D419" s="34">
        <v>4236</v>
      </c>
      <c r="E419" s="46" t="s">
        <v>664</v>
      </c>
      <c r="F419" s="35">
        <v>18000</v>
      </c>
      <c r="G419" s="40">
        <v>18000</v>
      </c>
      <c r="H419" s="35">
        <v>0</v>
      </c>
      <c r="I419" s="35">
        <f t="shared" si="14"/>
        <v>18000</v>
      </c>
      <c r="J419" s="36">
        <f t="shared" si="15"/>
        <v>0</v>
      </c>
      <c r="K419" s="48" t="s">
        <v>37</v>
      </c>
      <c r="L419" s="48" t="s">
        <v>37</v>
      </c>
      <c r="M419" s="38">
        <v>41455</v>
      </c>
      <c r="N419" s="48"/>
      <c r="O419" s="35">
        <v>18000</v>
      </c>
      <c r="P419" s="35"/>
      <c r="Q419" s="35"/>
    </row>
    <row r="420" spans="1:17" s="15" customFormat="1" ht="26.25" customHeight="1" x14ac:dyDescent="0.2">
      <c r="A420" s="43" t="s">
        <v>602</v>
      </c>
      <c r="B420" s="46" t="s">
        <v>75</v>
      </c>
      <c r="C420" s="44" t="s">
        <v>682</v>
      </c>
      <c r="D420" s="34">
        <v>4608</v>
      </c>
      <c r="E420" s="46" t="s">
        <v>665</v>
      </c>
      <c r="F420" s="35">
        <v>22000</v>
      </c>
      <c r="G420" s="40">
        <v>22000</v>
      </c>
      <c r="H420" s="35">
        <v>0</v>
      </c>
      <c r="I420" s="35">
        <f t="shared" si="14"/>
        <v>22000</v>
      </c>
      <c r="J420" s="36">
        <f t="shared" si="15"/>
        <v>0</v>
      </c>
      <c r="K420" s="48" t="s">
        <v>37</v>
      </c>
      <c r="L420" s="48" t="s">
        <v>37</v>
      </c>
      <c r="M420" s="38">
        <v>41455</v>
      </c>
      <c r="N420" s="48"/>
      <c r="O420" s="35">
        <v>22000</v>
      </c>
      <c r="P420" s="35"/>
      <c r="Q420" s="35"/>
    </row>
    <row r="421" spans="1:17" s="15" customFormat="1" ht="26.25" customHeight="1" x14ac:dyDescent="0.2">
      <c r="A421" s="43" t="s">
        <v>683</v>
      </c>
      <c r="B421" s="46" t="s">
        <v>75</v>
      </c>
      <c r="C421" s="44" t="s">
        <v>688</v>
      </c>
      <c r="D421" s="34">
        <v>4679</v>
      </c>
      <c r="E421" s="46" t="s">
        <v>684</v>
      </c>
      <c r="F421" s="35">
        <v>65384</v>
      </c>
      <c r="G421" s="40">
        <v>65384</v>
      </c>
      <c r="H421" s="35">
        <v>0</v>
      </c>
      <c r="I421" s="35">
        <f t="shared" si="14"/>
        <v>65384</v>
      </c>
      <c r="J421" s="36">
        <f t="shared" si="15"/>
        <v>0</v>
      </c>
      <c r="K421" s="48" t="s">
        <v>37</v>
      </c>
      <c r="L421" s="48" t="s">
        <v>42</v>
      </c>
      <c r="M421" s="38">
        <v>41455</v>
      </c>
      <c r="N421" s="37"/>
      <c r="O421" s="35">
        <v>65384</v>
      </c>
      <c r="P421" s="35"/>
      <c r="Q421" s="35"/>
    </row>
    <row r="422" spans="1:17" s="15" customFormat="1" ht="26.25" customHeight="1" x14ac:dyDescent="0.2">
      <c r="A422" s="43" t="s">
        <v>739</v>
      </c>
      <c r="B422" s="46" t="s">
        <v>75</v>
      </c>
      <c r="C422" s="44" t="s">
        <v>688</v>
      </c>
      <c r="D422" s="34">
        <v>4681</v>
      </c>
      <c r="E422" s="46" t="s">
        <v>750</v>
      </c>
      <c r="F422" s="35">
        <v>15000</v>
      </c>
      <c r="G422" s="40">
        <v>15000</v>
      </c>
      <c r="H422" s="35">
        <v>0</v>
      </c>
      <c r="I422" s="35">
        <f t="shared" si="14"/>
        <v>15000</v>
      </c>
      <c r="J422" s="36">
        <f t="shared" si="15"/>
        <v>0</v>
      </c>
      <c r="K422" s="48" t="s">
        <v>37</v>
      </c>
      <c r="L422" s="48" t="s">
        <v>42</v>
      </c>
      <c r="M422" s="38">
        <v>41455</v>
      </c>
      <c r="N422" s="37"/>
      <c r="O422" s="35">
        <v>15000</v>
      </c>
      <c r="P422" s="35"/>
      <c r="Q422" s="35"/>
    </row>
    <row r="423" spans="1:17" s="15" customFormat="1" ht="38.25" customHeight="1" x14ac:dyDescent="0.2">
      <c r="A423" s="43" t="s">
        <v>1081</v>
      </c>
      <c r="B423" s="46" t="s">
        <v>75</v>
      </c>
      <c r="C423" s="44" t="s">
        <v>1082</v>
      </c>
      <c r="D423" s="34">
        <v>5301</v>
      </c>
      <c r="E423" s="46" t="s">
        <v>1084</v>
      </c>
      <c r="F423" s="35">
        <v>97600</v>
      </c>
      <c r="G423" s="40">
        <v>97600</v>
      </c>
      <c r="H423" s="35">
        <v>0</v>
      </c>
      <c r="I423" s="35">
        <f t="shared" si="14"/>
        <v>97600</v>
      </c>
      <c r="J423" s="36">
        <f t="shared" si="15"/>
        <v>0</v>
      </c>
      <c r="K423" s="48" t="s">
        <v>37</v>
      </c>
      <c r="L423" s="48" t="s">
        <v>37</v>
      </c>
      <c r="M423" s="38">
        <v>41455</v>
      </c>
      <c r="N423" s="48"/>
      <c r="O423" s="35">
        <v>97600</v>
      </c>
      <c r="P423" s="35"/>
      <c r="Q423" s="35"/>
    </row>
    <row r="424" spans="1:17" s="15" customFormat="1" ht="38.25" customHeight="1" x14ac:dyDescent="0.2">
      <c r="A424" s="43" t="s">
        <v>1376</v>
      </c>
      <c r="B424" s="46" t="s">
        <v>75</v>
      </c>
      <c r="C424" s="44" t="s">
        <v>1379</v>
      </c>
      <c r="D424" s="34">
        <v>5948</v>
      </c>
      <c r="E424" s="46" t="s">
        <v>1385</v>
      </c>
      <c r="F424" s="35">
        <v>24000</v>
      </c>
      <c r="G424" s="40">
        <v>24000</v>
      </c>
      <c r="H424" s="35">
        <v>0</v>
      </c>
      <c r="I424" s="35">
        <f t="shared" si="14"/>
        <v>24000</v>
      </c>
      <c r="J424" s="36">
        <f t="shared" si="15"/>
        <v>0</v>
      </c>
      <c r="K424" s="48" t="s">
        <v>37</v>
      </c>
      <c r="L424" s="48" t="s">
        <v>42</v>
      </c>
      <c r="M424" s="38">
        <v>41820</v>
      </c>
      <c r="N424" s="48"/>
      <c r="O424" s="49">
        <v>24000</v>
      </c>
      <c r="P424" s="35"/>
      <c r="Q424" s="35"/>
    </row>
    <row r="425" spans="1:17" s="15" customFormat="1" ht="26.25" customHeight="1" x14ac:dyDescent="0.2">
      <c r="A425" s="43" t="s">
        <v>150</v>
      </c>
      <c r="B425" s="46" t="s">
        <v>40</v>
      </c>
      <c r="C425" s="44" t="s">
        <v>207</v>
      </c>
      <c r="D425" s="47">
        <v>3893</v>
      </c>
      <c r="E425" s="46" t="s">
        <v>178</v>
      </c>
      <c r="F425" s="35">
        <f>20000*3</f>
        <v>60000</v>
      </c>
      <c r="G425" s="40">
        <f>20000*3</f>
        <v>60000</v>
      </c>
      <c r="H425" s="35">
        <v>0</v>
      </c>
      <c r="I425" s="35">
        <f t="shared" si="14"/>
        <v>60000</v>
      </c>
      <c r="J425" s="36">
        <f t="shared" si="15"/>
        <v>0</v>
      </c>
      <c r="K425" s="48" t="s">
        <v>37</v>
      </c>
      <c r="L425" s="48" t="s">
        <v>42</v>
      </c>
      <c r="M425" s="38">
        <v>41455</v>
      </c>
      <c r="N425" s="48" t="s">
        <v>64</v>
      </c>
      <c r="O425" s="41">
        <v>20000</v>
      </c>
      <c r="P425" s="41">
        <v>20000</v>
      </c>
      <c r="Q425" s="41">
        <v>20000</v>
      </c>
    </row>
    <row r="426" spans="1:17" s="15" customFormat="1" ht="26.25" customHeight="1" x14ac:dyDescent="0.2">
      <c r="A426" s="43" t="s">
        <v>256</v>
      </c>
      <c r="B426" s="46" t="s">
        <v>40</v>
      </c>
      <c r="C426" s="44" t="s">
        <v>287</v>
      </c>
      <c r="D426" s="34">
        <v>4192</v>
      </c>
      <c r="E426" s="46" t="s">
        <v>272</v>
      </c>
      <c r="F426" s="35">
        <f>92017*3</f>
        <v>276051</v>
      </c>
      <c r="G426" s="40">
        <f>92017*3</f>
        <v>276051</v>
      </c>
      <c r="H426" s="35">
        <v>0</v>
      </c>
      <c r="I426" s="35">
        <f t="shared" si="14"/>
        <v>276051</v>
      </c>
      <c r="J426" s="36">
        <f t="shared" si="15"/>
        <v>0</v>
      </c>
      <c r="K426" s="48" t="s">
        <v>37</v>
      </c>
      <c r="L426" s="48" t="s">
        <v>37</v>
      </c>
      <c r="M426" s="38">
        <v>41455</v>
      </c>
      <c r="N426" s="48" t="s">
        <v>64</v>
      </c>
      <c r="O426" s="41">
        <v>92017</v>
      </c>
      <c r="P426" s="41">
        <v>92017</v>
      </c>
      <c r="Q426" s="41">
        <v>92017</v>
      </c>
    </row>
    <row r="427" spans="1:17" s="15" customFormat="1" ht="26.25" customHeight="1" x14ac:dyDescent="0.2">
      <c r="A427" s="43" t="s">
        <v>257</v>
      </c>
      <c r="B427" s="46" t="s">
        <v>40</v>
      </c>
      <c r="C427" s="44" t="s">
        <v>288</v>
      </c>
      <c r="D427" s="34">
        <v>4136</v>
      </c>
      <c r="E427" s="46" t="s">
        <v>273</v>
      </c>
      <c r="F427" s="35">
        <f>92410*3</f>
        <v>277230</v>
      </c>
      <c r="G427" s="40">
        <f>92410*3</f>
        <v>277230</v>
      </c>
      <c r="H427" s="35">
        <v>0</v>
      </c>
      <c r="I427" s="35">
        <f t="shared" si="14"/>
        <v>277230</v>
      </c>
      <c r="J427" s="36">
        <f t="shared" si="15"/>
        <v>0</v>
      </c>
      <c r="K427" s="48" t="s">
        <v>37</v>
      </c>
      <c r="L427" s="48" t="s">
        <v>37</v>
      </c>
      <c r="M427" s="38">
        <v>41455</v>
      </c>
      <c r="N427" s="48" t="s">
        <v>64</v>
      </c>
      <c r="O427" s="41">
        <v>92410</v>
      </c>
      <c r="P427" s="41">
        <v>92410</v>
      </c>
      <c r="Q427" s="41">
        <v>92410</v>
      </c>
    </row>
    <row r="428" spans="1:17" s="15" customFormat="1" ht="26.25" customHeight="1" x14ac:dyDescent="0.2">
      <c r="A428" s="43" t="s">
        <v>262</v>
      </c>
      <c r="B428" s="46" t="s">
        <v>40</v>
      </c>
      <c r="C428" s="44" t="s">
        <v>61</v>
      </c>
      <c r="D428" s="34">
        <v>4138</v>
      </c>
      <c r="E428" s="46" t="s">
        <v>63</v>
      </c>
      <c r="F428" s="35">
        <f>95000*3</f>
        <v>285000</v>
      </c>
      <c r="G428" s="40">
        <f>95000*3</f>
        <v>285000</v>
      </c>
      <c r="H428" s="35">
        <v>0</v>
      </c>
      <c r="I428" s="35">
        <f t="shared" si="14"/>
        <v>285000</v>
      </c>
      <c r="J428" s="36">
        <f t="shared" si="15"/>
        <v>0</v>
      </c>
      <c r="K428" s="48" t="s">
        <v>37</v>
      </c>
      <c r="L428" s="48" t="s">
        <v>37</v>
      </c>
      <c r="M428" s="38">
        <v>41455</v>
      </c>
      <c r="N428" s="48" t="s">
        <v>64</v>
      </c>
      <c r="O428" s="41">
        <v>95000</v>
      </c>
      <c r="P428" s="41">
        <v>95000</v>
      </c>
      <c r="Q428" s="41">
        <v>95000</v>
      </c>
    </row>
    <row r="429" spans="1:17" s="15" customFormat="1" ht="26.25" customHeight="1" x14ac:dyDescent="0.2">
      <c r="A429" s="43" t="s">
        <v>297</v>
      </c>
      <c r="B429" s="46" t="s">
        <v>40</v>
      </c>
      <c r="C429" s="44" t="s">
        <v>56</v>
      </c>
      <c r="D429" s="34">
        <v>4131</v>
      </c>
      <c r="E429" s="46" t="s">
        <v>311</v>
      </c>
      <c r="F429" s="35">
        <f>39000*3</f>
        <v>117000</v>
      </c>
      <c r="G429" s="40">
        <f>39000*3</f>
        <v>117000</v>
      </c>
      <c r="H429" s="35">
        <v>0</v>
      </c>
      <c r="I429" s="35">
        <f t="shared" si="14"/>
        <v>117000</v>
      </c>
      <c r="J429" s="36">
        <f t="shared" si="15"/>
        <v>0</v>
      </c>
      <c r="K429" s="48" t="s">
        <v>37</v>
      </c>
      <c r="L429" s="48" t="s">
        <v>37</v>
      </c>
      <c r="M429" s="38">
        <v>41455</v>
      </c>
      <c r="N429" s="48" t="s">
        <v>64</v>
      </c>
      <c r="O429" s="41">
        <v>39000</v>
      </c>
      <c r="P429" s="41">
        <v>39000</v>
      </c>
      <c r="Q429" s="41">
        <v>39000</v>
      </c>
    </row>
    <row r="430" spans="1:17" s="15" customFormat="1" ht="18" customHeight="1" x14ac:dyDescent="0.2">
      <c r="A430" s="43" t="s">
        <v>387</v>
      </c>
      <c r="B430" s="46" t="s">
        <v>40</v>
      </c>
      <c r="C430" s="44" t="s">
        <v>54</v>
      </c>
      <c r="D430" s="34">
        <v>4141</v>
      </c>
      <c r="E430" s="46" t="s">
        <v>44</v>
      </c>
      <c r="F430" s="35">
        <f>15000*3</f>
        <v>45000</v>
      </c>
      <c r="G430" s="40">
        <f>15000*3</f>
        <v>45000</v>
      </c>
      <c r="H430" s="35">
        <v>0</v>
      </c>
      <c r="I430" s="35">
        <f t="shared" si="14"/>
        <v>45000</v>
      </c>
      <c r="J430" s="36">
        <f t="shared" si="15"/>
        <v>0</v>
      </c>
      <c r="K430" s="48" t="s">
        <v>37</v>
      </c>
      <c r="L430" s="48" t="s">
        <v>37</v>
      </c>
      <c r="M430" s="38">
        <v>41455</v>
      </c>
      <c r="N430" s="48" t="s">
        <v>64</v>
      </c>
      <c r="O430" s="41">
        <v>15000</v>
      </c>
      <c r="P430" s="41">
        <v>15000</v>
      </c>
      <c r="Q430" s="41">
        <v>15000</v>
      </c>
    </row>
    <row r="431" spans="1:17" s="15" customFormat="1" ht="26.25" customHeight="1" x14ac:dyDescent="0.2">
      <c r="A431" s="43" t="s">
        <v>388</v>
      </c>
      <c r="B431" s="46" t="s">
        <v>40</v>
      </c>
      <c r="C431" s="44" t="s">
        <v>55</v>
      </c>
      <c r="D431" s="34">
        <v>4135</v>
      </c>
      <c r="E431" s="46" t="s">
        <v>421</v>
      </c>
      <c r="F431" s="35">
        <f>20000*3</f>
        <v>60000</v>
      </c>
      <c r="G431" s="40">
        <f>20000*3</f>
        <v>60000</v>
      </c>
      <c r="H431" s="35">
        <v>0</v>
      </c>
      <c r="I431" s="35">
        <f t="shared" si="14"/>
        <v>60000</v>
      </c>
      <c r="J431" s="36">
        <f t="shared" si="15"/>
        <v>0</v>
      </c>
      <c r="K431" s="48" t="s">
        <v>37</v>
      </c>
      <c r="L431" s="48" t="s">
        <v>37</v>
      </c>
      <c r="M431" s="38">
        <v>41455</v>
      </c>
      <c r="N431" s="48" t="s">
        <v>64</v>
      </c>
      <c r="O431" s="41">
        <v>20000</v>
      </c>
      <c r="P431" s="41">
        <v>20000</v>
      </c>
      <c r="Q431" s="41">
        <v>20000</v>
      </c>
    </row>
    <row r="432" spans="1:17" s="15" customFormat="1" ht="26.25" customHeight="1" x14ac:dyDescent="0.2">
      <c r="A432" s="43" t="s">
        <v>437</v>
      </c>
      <c r="B432" s="46" t="s">
        <v>40</v>
      </c>
      <c r="C432" s="44" t="s">
        <v>453</v>
      </c>
      <c r="D432" s="47">
        <v>4388</v>
      </c>
      <c r="E432" s="46" t="s">
        <v>463</v>
      </c>
      <c r="F432" s="35">
        <v>10750</v>
      </c>
      <c r="G432" s="40">
        <v>10750</v>
      </c>
      <c r="H432" s="35">
        <v>0</v>
      </c>
      <c r="I432" s="35">
        <f t="shared" si="14"/>
        <v>10750</v>
      </c>
      <c r="J432" s="36">
        <f t="shared" si="15"/>
        <v>0</v>
      </c>
      <c r="K432" s="48" t="s">
        <v>37</v>
      </c>
      <c r="L432" s="48" t="s">
        <v>37</v>
      </c>
      <c r="M432" s="38">
        <v>41090</v>
      </c>
      <c r="N432" s="48"/>
      <c r="O432" s="41">
        <v>10750</v>
      </c>
      <c r="P432" s="41"/>
      <c r="Q432" s="41"/>
    </row>
    <row r="433" spans="1:17" s="15" customFormat="1" ht="26.25" customHeight="1" x14ac:dyDescent="0.2">
      <c r="A433" s="43" t="s">
        <v>438</v>
      </c>
      <c r="B433" s="46" t="s">
        <v>40</v>
      </c>
      <c r="C433" s="44" t="s">
        <v>87</v>
      </c>
      <c r="D433" s="47">
        <v>4384</v>
      </c>
      <c r="E433" s="46" t="s">
        <v>464</v>
      </c>
      <c r="F433" s="35">
        <v>12500</v>
      </c>
      <c r="G433" s="40">
        <v>12500</v>
      </c>
      <c r="H433" s="35">
        <v>0</v>
      </c>
      <c r="I433" s="35">
        <f t="shared" si="14"/>
        <v>12500</v>
      </c>
      <c r="J433" s="36">
        <f t="shared" si="15"/>
        <v>0</v>
      </c>
      <c r="K433" s="48" t="s">
        <v>37</v>
      </c>
      <c r="L433" s="48" t="s">
        <v>37</v>
      </c>
      <c r="M433" s="38">
        <v>41274</v>
      </c>
      <c r="N433" s="48"/>
      <c r="O433" s="41">
        <v>12500</v>
      </c>
      <c r="P433" s="41"/>
      <c r="Q433" s="41"/>
    </row>
    <row r="434" spans="1:17" s="15" customFormat="1" ht="26.25" customHeight="1" x14ac:dyDescent="0.2">
      <c r="A434" s="43" t="s">
        <v>480</v>
      </c>
      <c r="B434" s="46" t="s">
        <v>40</v>
      </c>
      <c r="C434" s="44" t="s">
        <v>495</v>
      </c>
      <c r="D434" s="47">
        <v>4393</v>
      </c>
      <c r="E434" s="46" t="s">
        <v>506</v>
      </c>
      <c r="F434" s="35">
        <f>33000*3</f>
        <v>99000</v>
      </c>
      <c r="G434" s="40">
        <f>33000*3</f>
        <v>99000</v>
      </c>
      <c r="H434" s="35">
        <v>0</v>
      </c>
      <c r="I434" s="35">
        <f t="shared" si="14"/>
        <v>99000</v>
      </c>
      <c r="J434" s="36">
        <f t="shared" si="15"/>
        <v>0</v>
      </c>
      <c r="K434" s="48" t="s">
        <v>37</v>
      </c>
      <c r="L434" s="48" t="s">
        <v>37</v>
      </c>
      <c r="M434" s="38">
        <v>41455</v>
      </c>
      <c r="N434" s="48" t="s">
        <v>64</v>
      </c>
      <c r="O434" s="41">
        <v>33000</v>
      </c>
      <c r="P434" s="41">
        <v>33000</v>
      </c>
      <c r="Q434" s="41">
        <v>33000</v>
      </c>
    </row>
    <row r="435" spans="1:17" s="15" customFormat="1" ht="26.25" customHeight="1" x14ac:dyDescent="0.2">
      <c r="A435" s="43" t="s">
        <v>894</v>
      </c>
      <c r="B435" s="46" t="s">
        <v>40</v>
      </c>
      <c r="C435" s="44" t="s">
        <v>1046</v>
      </c>
      <c r="D435" s="34">
        <v>4856</v>
      </c>
      <c r="E435" s="46" t="s">
        <v>910</v>
      </c>
      <c r="F435" s="35">
        <v>44500</v>
      </c>
      <c r="G435" s="40">
        <v>44500</v>
      </c>
      <c r="H435" s="35">
        <v>0</v>
      </c>
      <c r="I435" s="35">
        <f t="shared" si="14"/>
        <v>44500</v>
      </c>
      <c r="J435" s="36">
        <f t="shared" si="15"/>
        <v>0</v>
      </c>
      <c r="K435" s="48" t="s">
        <v>37</v>
      </c>
      <c r="L435" s="48" t="s">
        <v>37</v>
      </c>
      <c r="M435" s="38">
        <v>41305</v>
      </c>
      <c r="N435" s="37"/>
      <c r="O435" s="35">
        <v>44500</v>
      </c>
      <c r="P435" s="35"/>
      <c r="Q435" s="35"/>
    </row>
    <row r="436" spans="1:17" s="15" customFormat="1" ht="26.25" customHeight="1" x14ac:dyDescent="0.2">
      <c r="A436" s="43" t="s">
        <v>920</v>
      </c>
      <c r="B436" s="46" t="s">
        <v>40</v>
      </c>
      <c r="C436" s="44" t="s">
        <v>925</v>
      </c>
      <c r="D436" s="34">
        <v>5015</v>
      </c>
      <c r="E436" s="46" t="s">
        <v>930</v>
      </c>
      <c r="F436" s="35">
        <f>12000*3</f>
        <v>36000</v>
      </c>
      <c r="G436" s="40">
        <f>12000*3</f>
        <v>36000</v>
      </c>
      <c r="H436" s="35">
        <v>0</v>
      </c>
      <c r="I436" s="35">
        <f t="shared" si="14"/>
        <v>36000</v>
      </c>
      <c r="J436" s="36">
        <f t="shared" si="15"/>
        <v>0</v>
      </c>
      <c r="K436" s="48" t="s">
        <v>37</v>
      </c>
      <c r="L436" s="48" t="s">
        <v>42</v>
      </c>
      <c r="M436" s="38">
        <v>41455</v>
      </c>
      <c r="N436" s="48" t="s">
        <v>64</v>
      </c>
      <c r="O436" s="35">
        <v>12000</v>
      </c>
      <c r="P436" s="35">
        <v>12000</v>
      </c>
      <c r="Q436" s="35">
        <v>12000</v>
      </c>
    </row>
    <row r="437" spans="1:17" s="15" customFormat="1" ht="26.25" customHeight="1" x14ac:dyDescent="0.2">
      <c r="A437" s="43" t="s">
        <v>959</v>
      </c>
      <c r="B437" s="46" t="s">
        <v>40</v>
      </c>
      <c r="C437" s="44" t="s">
        <v>969</v>
      </c>
      <c r="D437" s="34">
        <v>5129</v>
      </c>
      <c r="E437" s="46" t="s">
        <v>964</v>
      </c>
      <c r="F437" s="35">
        <f>6500*3</f>
        <v>19500</v>
      </c>
      <c r="G437" s="40">
        <f>6500*3</f>
        <v>19500</v>
      </c>
      <c r="H437" s="35">
        <v>0</v>
      </c>
      <c r="I437" s="35">
        <f t="shared" si="14"/>
        <v>19500</v>
      </c>
      <c r="J437" s="36">
        <f t="shared" si="15"/>
        <v>0</v>
      </c>
      <c r="K437" s="48" t="s">
        <v>37</v>
      </c>
      <c r="L437" s="48" t="s">
        <v>37</v>
      </c>
      <c r="M437" s="38">
        <v>41455</v>
      </c>
      <c r="N437" s="48" t="s">
        <v>64</v>
      </c>
      <c r="O437" s="35">
        <v>6500</v>
      </c>
      <c r="P437" s="35">
        <v>6500</v>
      </c>
      <c r="Q437" s="35">
        <v>6500</v>
      </c>
    </row>
    <row r="438" spans="1:17" s="15" customFormat="1" ht="26.25" customHeight="1" x14ac:dyDescent="0.2">
      <c r="A438" s="43" t="s">
        <v>960</v>
      </c>
      <c r="B438" s="46" t="s">
        <v>40</v>
      </c>
      <c r="C438" s="44" t="s">
        <v>1046</v>
      </c>
      <c r="D438" s="34">
        <v>4853</v>
      </c>
      <c r="E438" s="46" t="s">
        <v>965</v>
      </c>
      <c r="F438" s="35">
        <v>15000</v>
      </c>
      <c r="G438" s="40">
        <v>15000</v>
      </c>
      <c r="H438" s="35">
        <v>0</v>
      </c>
      <c r="I438" s="35">
        <f t="shared" si="14"/>
        <v>15000</v>
      </c>
      <c r="J438" s="36">
        <f t="shared" si="15"/>
        <v>0</v>
      </c>
      <c r="K438" s="48" t="s">
        <v>37</v>
      </c>
      <c r="L438" s="48" t="s">
        <v>37</v>
      </c>
      <c r="M438" s="38">
        <v>41363</v>
      </c>
      <c r="N438" s="37"/>
      <c r="O438" s="35">
        <v>15000</v>
      </c>
      <c r="P438" s="35"/>
      <c r="Q438" s="35"/>
    </row>
    <row r="439" spans="1:17" s="15" customFormat="1" ht="26.25" customHeight="1" x14ac:dyDescent="0.2">
      <c r="A439" s="43" t="s">
        <v>971</v>
      </c>
      <c r="B439" s="46" t="s">
        <v>40</v>
      </c>
      <c r="C439" s="44" t="s">
        <v>975</v>
      </c>
      <c r="D439" s="34">
        <v>5128</v>
      </c>
      <c r="E439" s="46" t="s">
        <v>977</v>
      </c>
      <c r="F439" s="35">
        <v>10800</v>
      </c>
      <c r="G439" s="40">
        <v>10800</v>
      </c>
      <c r="H439" s="35">
        <v>0</v>
      </c>
      <c r="I439" s="35">
        <f t="shared" si="14"/>
        <v>10800</v>
      </c>
      <c r="J439" s="36">
        <f t="shared" si="15"/>
        <v>0</v>
      </c>
      <c r="K439" s="48" t="s">
        <v>37</v>
      </c>
      <c r="L439" s="48" t="s">
        <v>42</v>
      </c>
      <c r="M439" s="38">
        <v>41305</v>
      </c>
      <c r="N439" s="37"/>
      <c r="O439" s="35">
        <v>10800</v>
      </c>
      <c r="P439" s="35"/>
      <c r="Q439" s="35"/>
    </row>
    <row r="440" spans="1:17" s="15" customFormat="1" ht="26.25" customHeight="1" x14ac:dyDescent="0.2">
      <c r="A440" s="43" t="s">
        <v>1107</v>
      </c>
      <c r="B440" s="46" t="s">
        <v>40</v>
      </c>
      <c r="C440" s="44" t="s">
        <v>207</v>
      </c>
      <c r="D440" s="47" t="s">
        <v>1115</v>
      </c>
      <c r="E440" s="46" t="s">
        <v>1122</v>
      </c>
      <c r="F440" s="35">
        <f>20000+20000+20000</f>
        <v>60000</v>
      </c>
      <c r="G440" s="40">
        <v>20000</v>
      </c>
      <c r="H440" s="35">
        <v>60000</v>
      </c>
      <c r="I440" s="35">
        <f t="shared" si="14"/>
        <v>80000</v>
      </c>
      <c r="J440" s="36">
        <f t="shared" si="15"/>
        <v>3</v>
      </c>
      <c r="K440" s="48" t="s">
        <v>37</v>
      </c>
      <c r="L440" s="48" t="s">
        <v>37</v>
      </c>
      <c r="M440" s="38">
        <v>41455</v>
      </c>
      <c r="N440" s="48" t="s">
        <v>64</v>
      </c>
      <c r="O440" s="35">
        <v>20000</v>
      </c>
      <c r="P440" s="35">
        <v>20000</v>
      </c>
      <c r="Q440" s="35">
        <v>20000</v>
      </c>
    </row>
    <row r="441" spans="1:17" s="15" customFormat="1" ht="26.25" customHeight="1" x14ac:dyDescent="0.2">
      <c r="A441" s="43" t="s">
        <v>1187</v>
      </c>
      <c r="B441" s="46" t="s">
        <v>40</v>
      </c>
      <c r="C441" s="44" t="s">
        <v>975</v>
      </c>
      <c r="D441" s="34">
        <v>5622</v>
      </c>
      <c r="E441" s="46" t="s">
        <v>1202</v>
      </c>
      <c r="F441" s="35">
        <v>18750</v>
      </c>
      <c r="G441" s="40">
        <v>18750</v>
      </c>
      <c r="H441" s="35">
        <v>0</v>
      </c>
      <c r="I441" s="35">
        <f t="shared" si="14"/>
        <v>18750</v>
      </c>
      <c r="J441" s="36">
        <f t="shared" si="15"/>
        <v>0</v>
      </c>
      <c r="K441" s="48" t="s">
        <v>37</v>
      </c>
      <c r="L441" s="48" t="s">
        <v>37</v>
      </c>
      <c r="M441" s="38">
        <v>41455</v>
      </c>
      <c r="N441" s="48"/>
      <c r="O441" s="35">
        <v>18750</v>
      </c>
      <c r="P441" s="35"/>
      <c r="Q441" s="35"/>
    </row>
    <row r="442" spans="1:17" s="15" customFormat="1" ht="26.25" customHeight="1" x14ac:dyDescent="0.2">
      <c r="A442" s="43" t="s">
        <v>1190</v>
      </c>
      <c r="B442" s="46" t="s">
        <v>40</v>
      </c>
      <c r="C442" s="44" t="s">
        <v>1195</v>
      </c>
      <c r="D442" s="34">
        <v>5736</v>
      </c>
      <c r="E442" s="46" t="s">
        <v>1205</v>
      </c>
      <c r="F442" s="35">
        <v>17876</v>
      </c>
      <c r="G442" s="40">
        <v>17876</v>
      </c>
      <c r="H442" s="35">
        <v>0</v>
      </c>
      <c r="I442" s="35">
        <f t="shared" si="14"/>
        <v>17876</v>
      </c>
      <c r="J442" s="36">
        <f t="shared" si="15"/>
        <v>0</v>
      </c>
      <c r="K442" s="48" t="s">
        <v>37</v>
      </c>
      <c r="L442" s="48" t="s">
        <v>42</v>
      </c>
      <c r="M442" s="38">
        <v>41820</v>
      </c>
      <c r="N442" s="48"/>
      <c r="O442" s="35">
        <v>17876</v>
      </c>
      <c r="P442" s="35"/>
      <c r="Q442" s="35"/>
    </row>
    <row r="443" spans="1:17" s="15" customFormat="1" ht="18" customHeight="1" x14ac:dyDescent="0.2">
      <c r="A443" s="43" t="s">
        <v>1210</v>
      </c>
      <c r="B443" s="46" t="s">
        <v>40</v>
      </c>
      <c r="C443" s="44" t="s">
        <v>559</v>
      </c>
      <c r="D443" s="34">
        <v>3545</v>
      </c>
      <c r="E443" s="46" t="s">
        <v>1218</v>
      </c>
      <c r="F443" s="35">
        <f>9600*3</f>
        <v>28800</v>
      </c>
      <c r="G443" s="40">
        <f>9600*3</f>
        <v>28800</v>
      </c>
      <c r="H443" s="35">
        <v>0</v>
      </c>
      <c r="I443" s="35">
        <f t="shared" si="14"/>
        <v>28800</v>
      </c>
      <c r="J443" s="36">
        <f t="shared" si="15"/>
        <v>0</v>
      </c>
      <c r="K443" s="48" t="s">
        <v>37</v>
      </c>
      <c r="L443" s="48" t="s">
        <v>42</v>
      </c>
      <c r="M443" s="38">
        <v>41759</v>
      </c>
      <c r="N443" s="48" t="s">
        <v>64</v>
      </c>
      <c r="O443" s="35">
        <v>9600</v>
      </c>
      <c r="P443" s="35">
        <v>9600</v>
      </c>
      <c r="Q443" s="35">
        <v>9600</v>
      </c>
    </row>
    <row r="444" spans="1:17" s="15" customFormat="1" ht="18" customHeight="1" x14ac:dyDescent="0.2">
      <c r="A444" s="43" t="s">
        <v>1211</v>
      </c>
      <c r="B444" s="46" t="s">
        <v>40</v>
      </c>
      <c r="C444" s="44" t="s">
        <v>1214</v>
      </c>
      <c r="D444" s="34">
        <v>3554</v>
      </c>
      <c r="E444" s="46" t="s">
        <v>1219</v>
      </c>
      <c r="F444" s="35">
        <f>36000*3</f>
        <v>108000</v>
      </c>
      <c r="G444" s="40">
        <f>36000*3</f>
        <v>108000</v>
      </c>
      <c r="H444" s="35">
        <v>0</v>
      </c>
      <c r="I444" s="35">
        <f t="shared" si="14"/>
        <v>108000</v>
      </c>
      <c r="J444" s="36">
        <f t="shared" si="15"/>
        <v>0</v>
      </c>
      <c r="K444" s="48" t="s">
        <v>37</v>
      </c>
      <c r="L444" s="48" t="s">
        <v>42</v>
      </c>
      <c r="M444" s="38">
        <v>41820</v>
      </c>
      <c r="N444" s="48" t="s">
        <v>64</v>
      </c>
      <c r="O444" s="35">
        <v>36000</v>
      </c>
      <c r="P444" s="35">
        <v>36000</v>
      </c>
      <c r="Q444" s="35">
        <v>36000</v>
      </c>
    </row>
    <row r="445" spans="1:17" s="15" customFormat="1" ht="26.25" customHeight="1" x14ac:dyDescent="0.2">
      <c r="A445" s="43" t="s">
        <v>1365</v>
      </c>
      <c r="B445" s="46" t="s">
        <v>40</v>
      </c>
      <c r="C445" s="44" t="s">
        <v>621</v>
      </c>
      <c r="D445" s="47" t="s">
        <v>41</v>
      </c>
      <c r="E445" s="46" t="s">
        <v>1370</v>
      </c>
      <c r="F445" s="35">
        <v>92000</v>
      </c>
      <c r="G445" s="40">
        <v>92000</v>
      </c>
      <c r="H445" s="35">
        <v>0</v>
      </c>
      <c r="I445" s="35">
        <f t="shared" si="14"/>
        <v>92000</v>
      </c>
      <c r="J445" s="36">
        <f t="shared" si="15"/>
        <v>0</v>
      </c>
      <c r="K445" s="48" t="s">
        <v>37</v>
      </c>
      <c r="L445" s="48" t="s">
        <v>37</v>
      </c>
      <c r="M445" s="38">
        <v>41455</v>
      </c>
      <c r="N445" s="48"/>
      <c r="O445" s="49">
        <v>92000</v>
      </c>
      <c r="P445" s="35"/>
      <c r="Q445" s="35"/>
    </row>
    <row r="446" spans="1:17" s="15" customFormat="1" ht="26.25" customHeight="1" x14ac:dyDescent="0.2">
      <c r="A446" s="43" t="s">
        <v>300</v>
      </c>
      <c r="B446" s="46" t="s">
        <v>67</v>
      </c>
      <c r="C446" s="44" t="s">
        <v>307</v>
      </c>
      <c r="D446" s="34">
        <v>4178</v>
      </c>
      <c r="E446" s="46" t="s">
        <v>313</v>
      </c>
      <c r="F446" s="35">
        <v>22000</v>
      </c>
      <c r="G446" s="40">
        <v>22000</v>
      </c>
      <c r="H446" s="35">
        <v>0</v>
      </c>
      <c r="I446" s="35">
        <f t="shared" si="14"/>
        <v>22000</v>
      </c>
      <c r="J446" s="36">
        <f t="shared" si="15"/>
        <v>0</v>
      </c>
      <c r="K446" s="48" t="s">
        <v>37</v>
      </c>
      <c r="L446" s="48" t="s">
        <v>37</v>
      </c>
      <c r="M446" s="38">
        <v>41455</v>
      </c>
      <c r="N446" s="37"/>
      <c r="O446" s="41">
        <v>22000</v>
      </c>
      <c r="P446" s="41"/>
      <c r="Q446" s="41"/>
    </row>
    <row r="447" spans="1:17" s="15" customFormat="1" ht="26.25" customHeight="1" x14ac:dyDescent="0.2">
      <c r="A447" s="43" t="s">
        <v>1289</v>
      </c>
      <c r="B447" s="46" t="s">
        <v>67</v>
      </c>
      <c r="C447" s="44" t="s">
        <v>1301</v>
      </c>
      <c r="D447" s="47">
        <v>5944</v>
      </c>
      <c r="E447" s="46" t="s">
        <v>1316</v>
      </c>
      <c r="F447" s="35">
        <f>27250*3</f>
        <v>81750</v>
      </c>
      <c r="G447" s="40">
        <f>27250*3</f>
        <v>81750</v>
      </c>
      <c r="H447" s="35">
        <v>0</v>
      </c>
      <c r="I447" s="35">
        <f t="shared" si="14"/>
        <v>81750</v>
      </c>
      <c r="J447" s="36">
        <f t="shared" si="15"/>
        <v>0</v>
      </c>
      <c r="K447" s="48" t="s">
        <v>37</v>
      </c>
      <c r="L447" s="48" t="s">
        <v>42</v>
      </c>
      <c r="M447" s="38">
        <v>41455</v>
      </c>
      <c r="N447" s="48" t="s">
        <v>64</v>
      </c>
      <c r="O447" s="35">
        <v>27250</v>
      </c>
      <c r="P447" s="35">
        <v>27250</v>
      </c>
      <c r="Q447" s="35">
        <v>27250</v>
      </c>
    </row>
    <row r="448" spans="1:17" s="15" customFormat="1" ht="26.25" customHeight="1" x14ac:dyDescent="0.2">
      <c r="A448" s="43" t="s">
        <v>1320</v>
      </c>
      <c r="B448" s="46" t="s">
        <v>67</v>
      </c>
      <c r="C448" s="44" t="s">
        <v>1328</v>
      </c>
      <c r="D448" s="47" t="s">
        <v>1331</v>
      </c>
      <c r="E448" s="46" t="s">
        <v>1332</v>
      </c>
      <c r="F448" s="35">
        <v>4000</v>
      </c>
      <c r="G448" s="40">
        <v>4000</v>
      </c>
      <c r="H448" s="35">
        <v>4000</v>
      </c>
      <c r="I448" s="35">
        <f t="shared" ref="I448:I487" si="16">G448+H448</f>
        <v>8000</v>
      </c>
      <c r="J448" s="36">
        <f t="shared" ref="J448:J487" si="17">IF(G448=0,100%,(I448-G448)/G448)</f>
        <v>1</v>
      </c>
      <c r="K448" s="48" t="s">
        <v>37</v>
      </c>
      <c r="L448" s="48" t="s">
        <v>37</v>
      </c>
      <c r="M448" s="38">
        <v>41455</v>
      </c>
      <c r="N448" s="48" t="s">
        <v>36</v>
      </c>
      <c r="O448" s="35">
        <v>4000</v>
      </c>
      <c r="P448" s="35"/>
      <c r="Q448" s="35"/>
    </row>
    <row r="449" spans="1:17" s="15" customFormat="1" ht="26.25" customHeight="1" x14ac:dyDescent="0.2">
      <c r="A449" s="43" t="s">
        <v>548</v>
      </c>
      <c r="B449" s="46" t="s">
        <v>66</v>
      </c>
      <c r="C449" s="44" t="s">
        <v>68</v>
      </c>
      <c r="D449" s="47">
        <v>4509</v>
      </c>
      <c r="E449" s="46" t="s">
        <v>578</v>
      </c>
      <c r="F449" s="35">
        <v>15093</v>
      </c>
      <c r="G449" s="40">
        <v>15093</v>
      </c>
      <c r="H449" s="35">
        <v>0</v>
      </c>
      <c r="I449" s="35">
        <f t="shared" si="16"/>
        <v>15093</v>
      </c>
      <c r="J449" s="36">
        <f t="shared" si="17"/>
        <v>0</v>
      </c>
      <c r="K449" s="48" t="s">
        <v>37</v>
      </c>
      <c r="L449" s="48" t="s">
        <v>37</v>
      </c>
      <c r="M449" s="38">
        <v>41517</v>
      </c>
      <c r="N449" s="48"/>
      <c r="O449" s="41">
        <v>15093</v>
      </c>
      <c r="P449" s="41"/>
      <c r="Q449" s="41"/>
    </row>
    <row r="450" spans="1:17" s="15" customFormat="1" ht="38.25" customHeight="1" x14ac:dyDescent="0.2">
      <c r="A450" s="43" t="s">
        <v>1086</v>
      </c>
      <c r="B450" s="46" t="s">
        <v>66</v>
      </c>
      <c r="C450" s="44" t="s">
        <v>1093</v>
      </c>
      <c r="D450" s="34">
        <v>5356</v>
      </c>
      <c r="E450" s="46" t="s">
        <v>1100</v>
      </c>
      <c r="F450" s="35">
        <f>5529*3</f>
        <v>16587</v>
      </c>
      <c r="G450" s="40">
        <f>5529*3</f>
        <v>16587</v>
      </c>
      <c r="H450" s="35">
        <v>0</v>
      </c>
      <c r="I450" s="35">
        <f t="shared" si="16"/>
        <v>16587</v>
      </c>
      <c r="J450" s="36">
        <f t="shared" si="17"/>
        <v>0</v>
      </c>
      <c r="K450" s="48" t="s">
        <v>37</v>
      </c>
      <c r="L450" s="48" t="s">
        <v>37</v>
      </c>
      <c r="M450" s="38">
        <v>41670</v>
      </c>
      <c r="N450" s="48" t="s">
        <v>64</v>
      </c>
      <c r="O450" s="35">
        <v>5529</v>
      </c>
      <c r="P450" s="35">
        <v>5529</v>
      </c>
      <c r="Q450" s="35">
        <v>5529</v>
      </c>
    </row>
    <row r="451" spans="1:17" s="15" customFormat="1" ht="26.25" customHeight="1" x14ac:dyDescent="0.2">
      <c r="A451" s="43" t="s">
        <v>1386</v>
      </c>
      <c r="B451" s="46" t="s">
        <v>66</v>
      </c>
      <c r="C451" s="44" t="s">
        <v>1393</v>
      </c>
      <c r="D451" s="34">
        <v>5985</v>
      </c>
      <c r="E451" s="46" t="s">
        <v>1402</v>
      </c>
      <c r="F451" s="35">
        <f>15312*3</f>
        <v>45936</v>
      </c>
      <c r="G451" s="40">
        <f>15312*3</f>
        <v>45936</v>
      </c>
      <c r="H451" s="35">
        <v>0</v>
      </c>
      <c r="I451" s="35">
        <f t="shared" si="16"/>
        <v>45936</v>
      </c>
      <c r="J451" s="36">
        <f t="shared" si="17"/>
        <v>0</v>
      </c>
      <c r="K451" s="48" t="s">
        <v>37</v>
      </c>
      <c r="L451" s="48" t="s">
        <v>37</v>
      </c>
      <c r="M451" s="38">
        <v>41820</v>
      </c>
      <c r="N451" s="48" t="s">
        <v>64</v>
      </c>
      <c r="O451" s="49">
        <v>15312</v>
      </c>
      <c r="P451" s="35">
        <v>15312</v>
      </c>
      <c r="Q451" s="35">
        <v>15312</v>
      </c>
    </row>
    <row r="452" spans="1:17" s="15" customFormat="1" ht="38.25" customHeight="1" x14ac:dyDescent="0.2">
      <c r="A452" s="43" t="s">
        <v>1391</v>
      </c>
      <c r="B452" s="46" t="s">
        <v>66</v>
      </c>
      <c r="C452" s="44" t="s">
        <v>1093</v>
      </c>
      <c r="D452" s="47">
        <v>6252</v>
      </c>
      <c r="E452" s="46" t="s">
        <v>1407</v>
      </c>
      <c r="F452" s="35">
        <v>15699</v>
      </c>
      <c r="G452" s="40">
        <v>15699</v>
      </c>
      <c r="H452" s="35">
        <v>0</v>
      </c>
      <c r="I452" s="35">
        <f t="shared" si="16"/>
        <v>15699</v>
      </c>
      <c r="J452" s="36">
        <f t="shared" si="17"/>
        <v>0</v>
      </c>
      <c r="K452" s="48" t="s">
        <v>37</v>
      </c>
      <c r="L452" s="48" t="s">
        <v>42</v>
      </c>
      <c r="M452" s="38">
        <v>43272</v>
      </c>
      <c r="N452" s="48"/>
      <c r="O452" s="35">
        <v>15699</v>
      </c>
      <c r="P452" s="35"/>
      <c r="Q452" s="35"/>
    </row>
    <row r="453" spans="1:17" s="15" customFormat="1" ht="26.25" customHeight="1" x14ac:dyDescent="0.2">
      <c r="A453" s="43" t="s">
        <v>1410</v>
      </c>
      <c r="B453" s="46" t="s">
        <v>66</v>
      </c>
      <c r="C453" s="44" t="s">
        <v>974</v>
      </c>
      <c r="D453" s="34">
        <v>6149</v>
      </c>
      <c r="E453" s="46" t="s">
        <v>1417</v>
      </c>
      <c r="F453" s="35">
        <f>74010*3</f>
        <v>222030</v>
      </c>
      <c r="G453" s="40">
        <f>74010*3</f>
        <v>222030</v>
      </c>
      <c r="H453" s="35">
        <v>0</v>
      </c>
      <c r="I453" s="35">
        <f t="shared" si="16"/>
        <v>222030</v>
      </c>
      <c r="J453" s="36">
        <f t="shared" si="17"/>
        <v>0</v>
      </c>
      <c r="K453" s="48" t="s">
        <v>37</v>
      </c>
      <c r="L453" s="48" t="s">
        <v>42</v>
      </c>
      <c r="M453" s="38">
        <v>41790</v>
      </c>
      <c r="N453" s="48" t="s">
        <v>64</v>
      </c>
      <c r="O453" s="35">
        <v>74010</v>
      </c>
      <c r="P453" s="35">
        <v>74010</v>
      </c>
      <c r="Q453" s="35">
        <v>74010</v>
      </c>
    </row>
    <row r="454" spans="1:17" s="15" customFormat="1" ht="26.25" customHeight="1" x14ac:dyDescent="0.2">
      <c r="A454" s="43" t="s">
        <v>264</v>
      </c>
      <c r="B454" s="46" t="s">
        <v>92</v>
      </c>
      <c r="C454" s="44" t="s">
        <v>99</v>
      </c>
      <c r="D454" s="47">
        <v>3948</v>
      </c>
      <c r="E454" s="46" t="s">
        <v>278</v>
      </c>
      <c r="F454" s="35">
        <f>80000*3</f>
        <v>240000</v>
      </c>
      <c r="G454" s="40">
        <f>80000*3</f>
        <v>240000</v>
      </c>
      <c r="H454" s="35">
        <v>0</v>
      </c>
      <c r="I454" s="35">
        <f t="shared" si="16"/>
        <v>240000</v>
      </c>
      <c r="J454" s="36">
        <f t="shared" si="17"/>
        <v>0</v>
      </c>
      <c r="K454" s="48" t="s">
        <v>37</v>
      </c>
      <c r="L454" s="48" t="s">
        <v>37</v>
      </c>
      <c r="M454" s="38">
        <v>41455</v>
      </c>
      <c r="N454" s="48" t="s">
        <v>64</v>
      </c>
      <c r="O454" s="41">
        <v>80000</v>
      </c>
      <c r="P454" s="41">
        <v>80000</v>
      </c>
      <c r="Q454" s="41">
        <v>80000</v>
      </c>
    </row>
    <row r="455" spans="1:17" s="15" customFormat="1" ht="26.25" customHeight="1" x14ac:dyDescent="0.2">
      <c r="A455" s="43" t="s">
        <v>392</v>
      </c>
      <c r="B455" s="46" t="s">
        <v>92</v>
      </c>
      <c r="C455" s="44" t="s">
        <v>407</v>
      </c>
      <c r="D455" s="34">
        <v>3936</v>
      </c>
      <c r="E455" s="46" t="s">
        <v>423</v>
      </c>
      <c r="F455" s="35">
        <f>20000*3</f>
        <v>60000</v>
      </c>
      <c r="G455" s="40">
        <f>20000*3</f>
        <v>60000</v>
      </c>
      <c r="H455" s="35">
        <v>0</v>
      </c>
      <c r="I455" s="35">
        <f t="shared" si="16"/>
        <v>60000</v>
      </c>
      <c r="J455" s="36">
        <f t="shared" si="17"/>
        <v>0</v>
      </c>
      <c r="K455" s="48" t="s">
        <v>37</v>
      </c>
      <c r="L455" s="48" t="s">
        <v>37</v>
      </c>
      <c r="M455" s="38">
        <v>41455</v>
      </c>
      <c r="N455" s="48" t="s">
        <v>64</v>
      </c>
      <c r="O455" s="41">
        <v>20000</v>
      </c>
      <c r="P455" s="41">
        <v>20000</v>
      </c>
      <c r="Q455" s="41">
        <v>20000</v>
      </c>
    </row>
    <row r="456" spans="1:17" s="15" customFormat="1" ht="26.25" customHeight="1" x14ac:dyDescent="0.2">
      <c r="A456" s="43" t="s">
        <v>393</v>
      </c>
      <c r="B456" s="46" t="s">
        <v>92</v>
      </c>
      <c r="C456" s="44" t="s">
        <v>408</v>
      </c>
      <c r="D456" s="34">
        <v>3950</v>
      </c>
      <c r="E456" s="46" t="s">
        <v>424</v>
      </c>
      <c r="F456" s="35">
        <f>20000*3</f>
        <v>60000</v>
      </c>
      <c r="G456" s="40">
        <f>20000*3</f>
        <v>60000</v>
      </c>
      <c r="H456" s="35">
        <v>0</v>
      </c>
      <c r="I456" s="35">
        <f t="shared" si="16"/>
        <v>60000</v>
      </c>
      <c r="J456" s="36">
        <f t="shared" si="17"/>
        <v>0</v>
      </c>
      <c r="K456" s="48" t="s">
        <v>37</v>
      </c>
      <c r="L456" s="48" t="s">
        <v>37</v>
      </c>
      <c r="M456" s="38">
        <v>41455</v>
      </c>
      <c r="N456" s="48" t="s">
        <v>64</v>
      </c>
      <c r="O456" s="41">
        <v>20000</v>
      </c>
      <c r="P456" s="41">
        <v>20000</v>
      </c>
      <c r="Q456" s="41">
        <v>20000</v>
      </c>
    </row>
    <row r="457" spans="1:17" s="15" customFormat="1" ht="26.25" customHeight="1" x14ac:dyDescent="0.2">
      <c r="A457" s="43" t="s">
        <v>394</v>
      </c>
      <c r="B457" s="46" t="s">
        <v>92</v>
      </c>
      <c r="C457" s="44" t="s">
        <v>409</v>
      </c>
      <c r="D457" s="34">
        <v>3951</v>
      </c>
      <c r="E457" s="46" t="s">
        <v>425</v>
      </c>
      <c r="F457" s="35">
        <f>40000*3</f>
        <v>120000</v>
      </c>
      <c r="G457" s="40">
        <f>40000*3</f>
        <v>120000</v>
      </c>
      <c r="H457" s="35">
        <v>0</v>
      </c>
      <c r="I457" s="35">
        <f t="shared" si="16"/>
        <v>120000</v>
      </c>
      <c r="J457" s="36">
        <f t="shared" si="17"/>
        <v>0</v>
      </c>
      <c r="K457" s="48" t="s">
        <v>37</v>
      </c>
      <c r="L457" s="48" t="s">
        <v>37</v>
      </c>
      <c r="M457" s="38">
        <v>41455</v>
      </c>
      <c r="N457" s="48" t="s">
        <v>64</v>
      </c>
      <c r="O457" s="41">
        <v>40000</v>
      </c>
      <c r="P457" s="41">
        <v>40000</v>
      </c>
      <c r="Q457" s="41">
        <v>40000</v>
      </c>
    </row>
    <row r="458" spans="1:17" s="15" customFormat="1" ht="26.25" customHeight="1" x14ac:dyDescent="0.2">
      <c r="A458" s="43" t="s">
        <v>395</v>
      </c>
      <c r="B458" s="46" t="s">
        <v>92</v>
      </c>
      <c r="C458" s="44" t="s">
        <v>410</v>
      </c>
      <c r="D458" s="34">
        <v>3974</v>
      </c>
      <c r="E458" s="46" t="s">
        <v>426</v>
      </c>
      <c r="F458" s="35">
        <f>25000*3</f>
        <v>75000</v>
      </c>
      <c r="G458" s="40">
        <f>25000*3</f>
        <v>75000</v>
      </c>
      <c r="H458" s="35">
        <v>0</v>
      </c>
      <c r="I458" s="35">
        <f t="shared" si="16"/>
        <v>75000</v>
      </c>
      <c r="J458" s="36">
        <f t="shared" si="17"/>
        <v>0</v>
      </c>
      <c r="K458" s="48" t="s">
        <v>37</v>
      </c>
      <c r="L458" s="48" t="s">
        <v>37</v>
      </c>
      <c r="M458" s="38">
        <v>41455</v>
      </c>
      <c r="N458" s="48" t="s">
        <v>64</v>
      </c>
      <c r="O458" s="41">
        <v>25000</v>
      </c>
      <c r="P458" s="41">
        <v>25000</v>
      </c>
      <c r="Q458" s="41">
        <v>25000</v>
      </c>
    </row>
    <row r="459" spans="1:17" s="15" customFormat="1" ht="38.25" customHeight="1" x14ac:dyDescent="0.2">
      <c r="A459" s="43" t="s">
        <v>396</v>
      </c>
      <c r="B459" s="46" t="s">
        <v>92</v>
      </c>
      <c r="C459" s="44" t="s">
        <v>411</v>
      </c>
      <c r="D459" s="34">
        <v>4285</v>
      </c>
      <c r="E459" s="46" t="s">
        <v>427</v>
      </c>
      <c r="F459" s="35">
        <f>14250*3</f>
        <v>42750</v>
      </c>
      <c r="G459" s="40">
        <f>14250*3</f>
        <v>42750</v>
      </c>
      <c r="H459" s="35">
        <v>0</v>
      </c>
      <c r="I459" s="35">
        <f t="shared" si="16"/>
        <v>42750</v>
      </c>
      <c r="J459" s="36">
        <f t="shared" si="17"/>
        <v>0</v>
      </c>
      <c r="K459" s="48" t="s">
        <v>37</v>
      </c>
      <c r="L459" s="48" t="s">
        <v>37</v>
      </c>
      <c r="M459" s="38">
        <v>41455</v>
      </c>
      <c r="N459" s="48" t="s">
        <v>64</v>
      </c>
      <c r="O459" s="41">
        <v>14250</v>
      </c>
      <c r="P459" s="41">
        <v>14250</v>
      </c>
      <c r="Q459" s="41">
        <v>14250</v>
      </c>
    </row>
    <row r="460" spans="1:17" s="15" customFormat="1" ht="18" customHeight="1" x14ac:dyDescent="0.2">
      <c r="A460" s="43" t="s">
        <v>397</v>
      </c>
      <c r="B460" s="46" t="s">
        <v>92</v>
      </c>
      <c r="C460" s="44" t="s">
        <v>412</v>
      </c>
      <c r="D460" s="34">
        <v>3954</v>
      </c>
      <c r="E460" s="46" t="s">
        <v>428</v>
      </c>
      <c r="F460" s="35">
        <f>20000*3</f>
        <v>60000</v>
      </c>
      <c r="G460" s="40">
        <f>20000*3</f>
        <v>60000</v>
      </c>
      <c r="H460" s="35">
        <v>0</v>
      </c>
      <c r="I460" s="35">
        <f t="shared" si="16"/>
        <v>60000</v>
      </c>
      <c r="J460" s="36">
        <f t="shared" si="17"/>
        <v>0</v>
      </c>
      <c r="K460" s="48" t="s">
        <v>37</v>
      </c>
      <c r="L460" s="48" t="s">
        <v>37</v>
      </c>
      <c r="M460" s="38">
        <v>41455</v>
      </c>
      <c r="N460" s="48" t="s">
        <v>64</v>
      </c>
      <c r="O460" s="41">
        <v>20000</v>
      </c>
      <c r="P460" s="41">
        <v>20000</v>
      </c>
      <c r="Q460" s="41">
        <v>20000</v>
      </c>
    </row>
    <row r="461" spans="1:17" s="15" customFormat="1" ht="26.25" customHeight="1" x14ac:dyDescent="0.2">
      <c r="A461" s="43" t="s">
        <v>398</v>
      </c>
      <c r="B461" s="46" t="s">
        <v>92</v>
      </c>
      <c r="C461" s="44" t="s">
        <v>413</v>
      </c>
      <c r="D461" s="34">
        <v>3965</v>
      </c>
      <c r="E461" s="46" t="s">
        <v>429</v>
      </c>
      <c r="F461" s="35">
        <f>6000*3</f>
        <v>18000</v>
      </c>
      <c r="G461" s="40">
        <f>6000*3</f>
        <v>18000</v>
      </c>
      <c r="H461" s="35">
        <v>0</v>
      </c>
      <c r="I461" s="35">
        <f t="shared" si="16"/>
        <v>18000</v>
      </c>
      <c r="J461" s="36">
        <f t="shared" si="17"/>
        <v>0</v>
      </c>
      <c r="K461" s="48" t="s">
        <v>37</v>
      </c>
      <c r="L461" s="48" t="s">
        <v>37</v>
      </c>
      <c r="M461" s="38">
        <v>41455</v>
      </c>
      <c r="N461" s="48" t="s">
        <v>64</v>
      </c>
      <c r="O461" s="41">
        <v>6000</v>
      </c>
      <c r="P461" s="41">
        <v>6000</v>
      </c>
      <c r="Q461" s="41">
        <v>6000</v>
      </c>
    </row>
    <row r="462" spans="1:17" s="15" customFormat="1" ht="26.25" customHeight="1" x14ac:dyDescent="0.2">
      <c r="A462" s="43" t="s">
        <v>399</v>
      </c>
      <c r="B462" s="46" t="s">
        <v>92</v>
      </c>
      <c r="C462" s="44" t="s">
        <v>112</v>
      </c>
      <c r="D462" s="47" t="s">
        <v>420</v>
      </c>
      <c r="E462" s="46" t="s">
        <v>430</v>
      </c>
      <c r="F462" s="35">
        <v>10080</v>
      </c>
      <c r="G462" s="40">
        <v>10080</v>
      </c>
      <c r="H462" s="35">
        <v>10080</v>
      </c>
      <c r="I462" s="35">
        <f t="shared" si="16"/>
        <v>20160</v>
      </c>
      <c r="J462" s="36">
        <f t="shared" si="17"/>
        <v>1</v>
      </c>
      <c r="K462" s="48" t="s">
        <v>37</v>
      </c>
      <c r="L462" s="48" t="s">
        <v>37</v>
      </c>
      <c r="M462" s="38">
        <v>41455</v>
      </c>
      <c r="N462" s="48" t="s">
        <v>36</v>
      </c>
      <c r="O462" s="41">
        <v>10080</v>
      </c>
      <c r="P462" s="41"/>
      <c r="Q462" s="41"/>
    </row>
    <row r="463" spans="1:17" s="15" customFormat="1" ht="26.25" customHeight="1" x14ac:dyDescent="0.2">
      <c r="A463" s="43" t="s">
        <v>400</v>
      </c>
      <c r="B463" s="46" t="s">
        <v>92</v>
      </c>
      <c r="C463" s="44" t="s">
        <v>414</v>
      </c>
      <c r="D463" s="34">
        <v>4287</v>
      </c>
      <c r="E463" s="46" t="s">
        <v>431</v>
      </c>
      <c r="F463" s="35">
        <f>5379*2</f>
        <v>10758</v>
      </c>
      <c r="G463" s="40">
        <f>5379*2</f>
        <v>10758</v>
      </c>
      <c r="H463" s="35">
        <v>0</v>
      </c>
      <c r="I463" s="35">
        <f t="shared" si="16"/>
        <v>10758</v>
      </c>
      <c r="J463" s="36">
        <f t="shared" si="17"/>
        <v>0</v>
      </c>
      <c r="K463" s="48" t="s">
        <v>37</v>
      </c>
      <c r="L463" s="48" t="s">
        <v>37</v>
      </c>
      <c r="M463" s="38">
        <v>41455</v>
      </c>
      <c r="N463" s="48" t="s">
        <v>64</v>
      </c>
      <c r="O463" s="41">
        <v>5379</v>
      </c>
      <c r="P463" s="41">
        <v>5379</v>
      </c>
      <c r="Q463" s="41"/>
    </row>
    <row r="464" spans="1:17" s="15" customFormat="1" ht="26.25" customHeight="1" x14ac:dyDescent="0.2">
      <c r="A464" s="43" t="s">
        <v>401</v>
      </c>
      <c r="B464" s="46" t="s">
        <v>92</v>
      </c>
      <c r="C464" s="44" t="s">
        <v>415</v>
      </c>
      <c r="D464" s="34">
        <v>3934</v>
      </c>
      <c r="E464" s="46" t="s">
        <v>432</v>
      </c>
      <c r="F464" s="35">
        <f>25000*3</f>
        <v>75000</v>
      </c>
      <c r="G464" s="40">
        <f>25000*3</f>
        <v>75000</v>
      </c>
      <c r="H464" s="35">
        <v>0</v>
      </c>
      <c r="I464" s="35">
        <f t="shared" si="16"/>
        <v>75000</v>
      </c>
      <c r="J464" s="36">
        <f t="shared" si="17"/>
        <v>0</v>
      </c>
      <c r="K464" s="48" t="s">
        <v>37</v>
      </c>
      <c r="L464" s="48" t="s">
        <v>37</v>
      </c>
      <c r="M464" s="38">
        <v>41455</v>
      </c>
      <c r="N464" s="48" t="s">
        <v>64</v>
      </c>
      <c r="O464" s="41">
        <v>25000</v>
      </c>
      <c r="P464" s="41">
        <v>25000</v>
      </c>
      <c r="Q464" s="41">
        <v>25000</v>
      </c>
    </row>
    <row r="465" spans="1:17" s="15" customFormat="1" ht="26.25" customHeight="1" x14ac:dyDescent="0.2">
      <c r="A465" s="43" t="s">
        <v>1178</v>
      </c>
      <c r="B465" s="46" t="s">
        <v>1180</v>
      </c>
      <c r="C465" s="44" t="s">
        <v>1181</v>
      </c>
      <c r="D465" s="47" t="s">
        <v>41</v>
      </c>
      <c r="E465" s="46" t="s">
        <v>1183</v>
      </c>
      <c r="F465" s="35">
        <v>95103</v>
      </c>
      <c r="G465" s="40">
        <v>95103</v>
      </c>
      <c r="H465" s="35">
        <v>0</v>
      </c>
      <c r="I465" s="35">
        <f t="shared" si="16"/>
        <v>95103</v>
      </c>
      <c r="J465" s="36">
        <f t="shared" si="17"/>
        <v>0</v>
      </c>
      <c r="K465" s="48" t="s">
        <v>37</v>
      </c>
      <c r="L465" s="48" t="s">
        <v>37</v>
      </c>
      <c r="M465" s="38">
        <v>41455</v>
      </c>
      <c r="N465" s="48"/>
      <c r="O465" s="35">
        <v>95103</v>
      </c>
      <c r="P465" s="35"/>
      <c r="Q465" s="35"/>
    </row>
    <row r="466" spans="1:17" s="15" customFormat="1" ht="26.25" customHeight="1" x14ac:dyDescent="0.2">
      <c r="A466" s="43" t="s">
        <v>1144</v>
      </c>
      <c r="B466" s="46" t="s">
        <v>1150</v>
      </c>
      <c r="C466" s="44" t="s">
        <v>1151</v>
      </c>
      <c r="D466" s="34">
        <v>4838</v>
      </c>
      <c r="E466" s="46" t="s">
        <v>1154</v>
      </c>
      <c r="F466" s="35">
        <v>99000</v>
      </c>
      <c r="G466" s="40">
        <v>99000</v>
      </c>
      <c r="H466" s="35">
        <v>0</v>
      </c>
      <c r="I466" s="35">
        <f t="shared" si="16"/>
        <v>99000</v>
      </c>
      <c r="J466" s="36">
        <f t="shared" si="17"/>
        <v>0</v>
      </c>
      <c r="K466" s="48" t="s">
        <v>37</v>
      </c>
      <c r="L466" s="48" t="s">
        <v>37</v>
      </c>
      <c r="M466" s="38">
        <v>41578</v>
      </c>
      <c r="N466" s="48"/>
      <c r="O466" s="35">
        <v>99000</v>
      </c>
      <c r="P466" s="35"/>
      <c r="Q466" s="35"/>
    </row>
    <row r="467" spans="1:17" s="15" customFormat="1" ht="38.25" customHeight="1" x14ac:dyDescent="0.2">
      <c r="A467" s="43" t="s">
        <v>538</v>
      </c>
      <c r="B467" s="46" t="s">
        <v>551</v>
      </c>
      <c r="C467" s="44" t="s">
        <v>553</v>
      </c>
      <c r="D467" s="47">
        <v>4185</v>
      </c>
      <c r="E467" s="46" t="s">
        <v>569</v>
      </c>
      <c r="F467" s="35">
        <f>22000*3</f>
        <v>66000</v>
      </c>
      <c r="G467" s="40">
        <f>22000*3</f>
        <v>66000</v>
      </c>
      <c r="H467" s="35">
        <v>0</v>
      </c>
      <c r="I467" s="35">
        <f t="shared" si="16"/>
        <v>66000</v>
      </c>
      <c r="J467" s="36">
        <f t="shared" si="17"/>
        <v>0</v>
      </c>
      <c r="K467" s="48" t="s">
        <v>37</v>
      </c>
      <c r="L467" s="48" t="s">
        <v>37</v>
      </c>
      <c r="M467" s="38">
        <v>41455</v>
      </c>
      <c r="N467" s="48" t="s">
        <v>64</v>
      </c>
      <c r="O467" s="41">
        <v>22000</v>
      </c>
      <c r="P467" s="41">
        <v>22000</v>
      </c>
      <c r="Q467" s="41">
        <v>22000</v>
      </c>
    </row>
    <row r="468" spans="1:17" s="15" customFormat="1" ht="26.25" customHeight="1" x14ac:dyDescent="0.2">
      <c r="A468" s="43" t="s">
        <v>539</v>
      </c>
      <c r="B468" s="46" t="s">
        <v>551</v>
      </c>
      <c r="C468" s="44" t="s">
        <v>554</v>
      </c>
      <c r="D468" s="47">
        <v>4183</v>
      </c>
      <c r="E468" s="46" t="s">
        <v>570</v>
      </c>
      <c r="F468" s="35">
        <f>10000*3</f>
        <v>30000</v>
      </c>
      <c r="G468" s="40">
        <f>10000*3</f>
        <v>30000</v>
      </c>
      <c r="H468" s="35">
        <v>0</v>
      </c>
      <c r="I468" s="35">
        <f t="shared" si="16"/>
        <v>30000</v>
      </c>
      <c r="J468" s="36">
        <f t="shared" si="17"/>
        <v>0</v>
      </c>
      <c r="K468" s="48" t="s">
        <v>37</v>
      </c>
      <c r="L468" s="48" t="s">
        <v>37</v>
      </c>
      <c r="M468" s="38">
        <v>41455</v>
      </c>
      <c r="N468" s="48" t="s">
        <v>64</v>
      </c>
      <c r="O468" s="41">
        <v>10000</v>
      </c>
      <c r="P468" s="41">
        <v>10000</v>
      </c>
      <c r="Q468" s="41">
        <v>10000</v>
      </c>
    </row>
    <row r="469" spans="1:17" s="15" customFormat="1" ht="26.25" customHeight="1" x14ac:dyDescent="0.2">
      <c r="A469" s="43" t="s">
        <v>540</v>
      </c>
      <c r="B469" s="46" t="s">
        <v>551</v>
      </c>
      <c r="C469" s="44" t="s">
        <v>555</v>
      </c>
      <c r="D469" s="47">
        <v>4182</v>
      </c>
      <c r="E469" s="46" t="s">
        <v>570</v>
      </c>
      <c r="F469" s="35">
        <f>10000*3</f>
        <v>30000</v>
      </c>
      <c r="G469" s="40">
        <f>10000*3</f>
        <v>30000</v>
      </c>
      <c r="H469" s="35">
        <v>0</v>
      </c>
      <c r="I469" s="35">
        <f t="shared" si="16"/>
        <v>30000</v>
      </c>
      <c r="J469" s="36">
        <f t="shared" si="17"/>
        <v>0</v>
      </c>
      <c r="K469" s="48" t="s">
        <v>37</v>
      </c>
      <c r="L469" s="48" t="s">
        <v>37</v>
      </c>
      <c r="M469" s="38">
        <v>41455</v>
      </c>
      <c r="N469" s="48" t="s">
        <v>64</v>
      </c>
      <c r="O469" s="41">
        <v>10000</v>
      </c>
      <c r="P469" s="41">
        <v>10000</v>
      </c>
      <c r="Q469" s="41">
        <v>10000</v>
      </c>
    </row>
    <row r="470" spans="1:17" s="15" customFormat="1" ht="26.25" customHeight="1" x14ac:dyDescent="0.2">
      <c r="A470" s="43" t="s">
        <v>541</v>
      </c>
      <c r="B470" s="46" t="s">
        <v>551</v>
      </c>
      <c r="C470" s="44" t="s">
        <v>556</v>
      </c>
      <c r="D470" s="47">
        <v>4181</v>
      </c>
      <c r="E470" s="46" t="s">
        <v>571</v>
      </c>
      <c r="F470" s="35">
        <f>15000*3</f>
        <v>45000</v>
      </c>
      <c r="G470" s="40">
        <f>15000*3</f>
        <v>45000</v>
      </c>
      <c r="H470" s="35">
        <v>0</v>
      </c>
      <c r="I470" s="35">
        <f t="shared" si="16"/>
        <v>45000</v>
      </c>
      <c r="J470" s="36">
        <f t="shared" si="17"/>
        <v>0</v>
      </c>
      <c r="K470" s="48" t="s">
        <v>37</v>
      </c>
      <c r="L470" s="48" t="s">
        <v>37</v>
      </c>
      <c r="M470" s="38">
        <v>41455</v>
      </c>
      <c r="N470" s="48" t="s">
        <v>64</v>
      </c>
      <c r="O470" s="41">
        <v>15000</v>
      </c>
      <c r="P470" s="41">
        <v>15000</v>
      </c>
      <c r="Q470" s="41">
        <v>15000</v>
      </c>
    </row>
    <row r="471" spans="1:17" s="15" customFormat="1" ht="26.25" customHeight="1" x14ac:dyDescent="0.2">
      <c r="A471" s="43" t="s">
        <v>542</v>
      </c>
      <c r="B471" s="46" t="s">
        <v>551</v>
      </c>
      <c r="C471" s="44" t="s">
        <v>94</v>
      </c>
      <c r="D471" s="47">
        <v>4179</v>
      </c>
      <c r="E471" s="46" t="s">
        <v>572</v>
      </c>
      <c r="F471" s="35">
        <f>30000*3</f>
        <v>90000</v>
      </c>
      <c r="G471" s="40">
        <f>30000*3</f>
        <v>90000</v>
      </c>
      <c r="H471" s="35">
        <v>0</v>
      </c>
      <c r="I471" s="35">
        <f t="shared" si="16"/>
        <v>90000</v>
      </c>
      <c r="J471" s="36">
        <f t="shared" si="17"/>
        <v>0</v>
      </c>
      <c r="K471" s="48" t="s">
        <v>37</v>
      </c>
      <c r="L471" s="48" t="s">
        <v>37</v>
      </c>
      <c r="M471" s="38">
        <v>41455</v>
      </c>
      <c r="N471" s="48" t="s">
        <v>64</v>
      </c>
      <c r="O471" s="41">
        <v>30000</v>
      </c>
      <c r="P471" s="41">
        <v>30000</v>
      </c>
      <c r="Q471" s="41">
        <v>30000</v>
      </c>
    </row>
    <row r="472" spans="1:17" s="15" customFormat="1" ht="26.25" customHeight="1" x14ac:dyDescent="0.2">
      <c r="A472" s="43" t="s">
        <v>543</v>
      </c>
      <c r="B472" s="46" t="s">
        <v>551</v>
      </c>
      <c r="C472" s="44" t="s">
        <v>557</v>
      </c>
      <c r="D472" s="47">
        <v>4171</v>
      </c>
      <c r="E472" s="46" t="s">
        <v>573</v>
      </c>
      <c r="F472" s="35">
        <f>20000*3</f>
        <v>60000</v>
      </c>
      <c r="G472" s="40">
        <f>20000*3</f>
        <v>60000</v>
      </c>
      <c r="H472" s="35">
        <v>0</v>
      </c>
      <c r="I472" s="35">
        <f t="shared" si="16"/>
        <v>60000</v>
      </c>
      <c r="J472" s="36">
        <f t="shared" si="17"/>
        <v>0</v>
      </c>
      <c r="K472" s="48" t="s">
        <v>37</v>
      </c>
      <c r="L472" s="48" t="s">
        <v>37</v>
      </c>
      <c r="M472" s="38">
        <v>41455</v>
      </c>
      <c r="N472" s="48" t="s">
        <v>64</v>
      </c>
      <c r="O472" s="41">
        <v>20000</v>
      </c>
      <c r="P472" s="41">
        <v>20000</v>
      </c>
      <c r="Q472" s="41">
        <v>20000</v>
      </c>
    </row>
    <row r="473" spans="1:17" s="15" customFormat="1" ht="18" customHeight="1" x14ac:dyDescent="0.2">
      <c r="A473" s="43" t="s">
        <v>993</v>
      </c>
      <c r="B473" s="46" t="s">
        <v>997</v>
      </c>
      <c r="C473" s="44" t="s">
        <v>998</v>
      </c>
      <c r="D473" s="47" t="s">
        <v>41</v>
      </c>
      <c r="E473" s="46" t="s">
        <v>1001</v>
      </c>
      <c r="F473" s="35">
        <f>93079*3</f>
        <v>279237</v>
      </c>
      <c r="G473" s="40">
        <f>93079*3</f>
        <v>279237</v>
      </c>
      <c r="H473" s="35">
        <v>0</v>
      </c>
      <c r="I473" s="35">
        <f t="shared" si="16"/>
        <v>279237</v>
      </c>
      <c r="J473" s="36">
        <f t="shared" si="17"/>
        <v>0</v>
      </c>
      <c r="K473" s="48" t="s">
        <v>37</v>
      </c>
      <c r="L473" s="48" t="s">
        <v>37</v>
      </c>
      <c r="M473" s="38">
        <v>41639</v>
      </c>
      <c r="N473" s="48" t="s">
        <v>64</v>
      </c>
      <c r="O473" s="35">
        <v>93079</v>
      </c>
      <c r="P473" s="35">
        <v>93079</v>
      </c>
      <c r="Q473" s="35">
        <v>93079</v>
      </c>
    </row>
    <row r="474" spans="1:17" s="15" customFormat="1" ht="18" customHeight="1" x14ac:dyDescent="0.2">
      <c r="A474" s="43" t="s">
        <v>151</v>
      </c>
      <c r="B474" s="46" t="s">
        <v>45</v>
      </c>
      <c r="C474" s="44" t="s">
        <v>120</v>
      </c>
      <c r="D474" s="47">
        <v>3914</v>
      </c>
      <c r="E474" s="46" t="s">
        <v>179</v>
      </c>
      <c r="F474" s="35">
        <f>10500*3</f>
        <v>31500</v>
      </c>
      <c r="G474" s="40">
        <f>10500*3</f>
        <v>31500</v>
      </c>
      <c r="H474" s="35">
        <v>0</v>
      </c>
      <c r="I474" s="35">
        <f t="shared" si="16"/>
        <v>31500</v>
      </c>
      <c r="J474" s="36">
        <f t="shared" si="17"/>
        <v>0</v>
      </c>
      <c r="K474" s="48" t="s">
        <v>37</v>
      </c>
      <c r="L474" s="48" t="s">
        <v>37</v>
      </c>
      <c r="M474" s="38">
        <v>41455</v>
      </c>
      <c r="N474" s="48" t="s">
        <v>64</v>
      </c>
      <c r="O474" s="41">
        <v>10500</v>
      </c>
      <c r="P474" s="41">
        <v>10500</v>
      </c>
      <c r="Q474" s="41">
        <v>10500</v>
      </c>
    </row>
    <row r="475" spans="1:17" s="15" customFormat="1" ht="18" customHeight="1" x14ac:dyDescent="0.2">
      <c r="A475" s="43" t="s">
        <v>152</v>
      </c>
      <c r="B475" s="46" t="s">
        <v>45</v>
      </c>
      <c r="C475" s="44" t="s">
        <v>119</v>
      </c>
      <c r="D475" s="47">
        <v>3915</v>
      </c>
      <c r="E475" s="46" t="s">
        <v>180</v>
      </c>
      <c r="F475" s="35">
        <f>10500*3</f>
        <v>31500</v>
      </c>
      <c r="G475" s="40">
        <f>10500*3</f>
        <v>31500</v>
      </c>
      <c r="H475" s="35">
        <v>0</v>
      </c>
      <c r="I475" s="35">
        <f t="shared" si="16"/>
        <v>31500</v>
      </c>
      <c r="J475" s="36">
        <f t="shared" si="17"/>
        <v>0</v>
      </c>
      <c r="K475" s="48" t="s">
        <v>37</v>
      </c>
      <c r="L475" s="48" t="s">
        <v>37</v>
      </c>
      <c r="M475" s="38">
        <v>41455</v>
      </c>
      <c r="N475" s="48" t="s">
        <v>64</v>
      </c>
      <c r="O475" s="41">
        <v>10500</v>
      </c>
      <c r="P475" s="41">
        <v>10500</v>
      </c>
      <c r="Q475" s="41">
        <v>10500</v>
      </c>
    </row>
    <row r="476" spans="1:17" s="15" customFormat="1" ht="18" customHeight="1" x14ac:dyDescent="0.2">
      <c r="A476" s="43" t="s">
        <v>545</v>
      </c>
      <c r="B476" s="46" t="s">
        <v>45</v>
      </c>
      <c r="C476" s="44" t="s">
        <v>559</v>
      </c>
      <c r="D476" s="47">
        <v>3656</v>
      </c>
      <c r="E476" s="46" t="s">
        <v>575</v>
      </c>
      <c r="F476" s="35">
        <f>24100*3</f>
        <v>72300</v>
      </c>
      <c r="G476" s="40">
        <f>24100*3</f>
        <v>72300</v>
      </c>
      <c r="H476" s="35">
        <v>0</v>
      </c>
      <c r="I476" s="35">
        <f t="shared" si="16"/>
        <v>72300</v>
      </c>
      <c r="J476" s="36">
        <f t="shared" si="17"/>
        <v>0</v>
      </c>
      <c r="K476" s="48" t="s">
        <v>37</v>
      </c>
      <c r="L476" s="48" t="s">
        <v>37</v>
      </c>
      <c r="M476" s="38">
        <v>41455</v>
      </c>
      <c r="N476" s="48" t="s">
        <v>64</v>
      </c>
      <c r="O476" s="41">
        <v>24100</v>
      </c>
      <c r="P476" s="41">
        <v>24100</v>
      </c>
      <c r="Q476" s="41">
        <v>24100</v>
      </c>
    </row>
    <row r="477" spans="1:17" s="15" customFormat="1" ht="18" customHeight="1" x14ac:dyDescent="0.2">
      <c r="A477" s="43" t="s">
        <v>546</v>
      </c>
      <c r="B477" s="46" t="s">
        <v>45</v>
      </c>
      <c r="C477" s="44" t="s">
        <v>207</v>
      </c>
      <c r="D477" s="47">
        <v>3912</v>
      </c>
      <c r="E477" s="46" t="s">
        <v>576</v>
      </c>
      <c r="F477" s="35">
        <f>13500*3</f>
        <v>40500</v>
      </c>
      <c r="G477" s="40">
        <f>13500*3</f>
        <v>40500</v>
      </c>
      <c r="H477" s="35">
        <v>0</v>
      </c>
      <c r="I477" s="35">
        <f t="shared" si="16"/>
        <v>40500</v>
      </c>
      <c r="J477" s="36">
        <f t="shared" si="17"/>
        <v>0</v>
      </c>
      <c r="K477" s="48" t="s">
        <v>37</v>
      </c>
      <c r="L477" s="48" t="s">
        <v>37</v>
      </c>
      <c r="M477" s="38">
        <v>41455</v>
      </c>
      <c r="N477" s="48" t="s">
        <v>64</v>
      </c>
      <c r="O477" s="41">
        <v>13500</v>
      </c>
      <c r="P477" s="41">
        <v>13500</v>
      </c>
      <c r="Q477" s="41">
        <v>13500</v>
      </c>
    </row>
    <row r="478" spans="1:17" s="15" customFormat="1" ht="26.25" customHeight="1" x14ac:dyDescent="0.2">
      <c r="A478" s="43" t="s">
        <v>600</v>
      </c>
      <c r="B478" s="46" t="s">
        <v>45</v>
      </c>
      <c r="C478" s="44" t="s">
        <v>51</v>
      </c>
      <c r="D478" s="34">
        <v>3662</v>
      </c>
      <c r="E478" s="46" t="s">
        <v>663</v>
      </c>
      <c r="F478" s="35">
        <f>14796*3</f>
        <v>44388</v>
      </c>
      <c r="G478" s="40">
        <f>14796*3</f>
        <v>44388</v>
      </c>
      <c r="H478" s="35">
        <v>0</v>
      </c>
      <c r="I478" s="35">
        <f t="shared" si="16"/>
        <v>44388</v>
      </c>
      <c r="J478" s="36">
        <f t="shared" si="17"/>
        <v>0</v>
      </c>
      <c r="K478" s="48" t="s">
        <v>37</v>
      </c>
      <c r="L478" s="48" t="s">
        <v>37</v>
      </c>
      <c r="M478" s="38">
        <v>41455</v>
      </c>
      <c r="N478" s="48" t="s">
        <v>64</v>
      </c>
      <c r="O478" s="35">
        <v>14796</v>
      </c>
      <c r="P478" s="35">
        <v>14796</v>
      </c>
      <c r="Q478" s="35">
        <v>14796</v>
      </c>
    </row>
    <row r="479" spans="1:17" s="15" customFormat="1" ht="26.25" customHeight="1" x14ac:dyDescent="0.2">
      <c r="A479" s="43" t="s">
        <v>895</v>
      </c>
      <c r="B479" s="46" t="s">
        <v>45</v>
      </c>
      <c r="C479" s="44" t="s">
        <v>905</v>
      </c>
      <c r="D479" s="34">
        <v>4982</v>
      </c>
      <c r="E479" s="46" t="s">
        <v>911</v>
      </c>
      <c r="F479" s="35">
        <v>9802</v>
      </c>
      <c r="G479" s="40">
        <v>9802</v>
      </c>
      <c r="H479" s="35">
        <v>0</v>
      </c>
      <c r="I479" s="35">
        <f t="shared" si="16"/>
        <v>9802</v>
      </c>
      <c r="J479" s="36">
        <f t="shared" si="17"/>
        <v>0</v>
      </c>
      <c r="K479" s="48" t="s">
        <v>37</v>
      </c>
      <c r="L479" s="48" t="s">
        <v>37</v>
      </c>
      <c r="M479" s="38">
        <v>41305</v>
      </c>
      <c r="N479" s="37"/>
      <c r="O479" s="35">
        <v>9802</v>
      </c>
      <c r="P479" s="35"/>
      <c r="Q479" s="35"/>
    </row>
    <row r="480" spans="1:17" s="15" customFormat="1" ht="26.25" customHeight="1" x14ac:dyDescent="0.2">
      <c r="A480" s="43" t="s">
        <v>1160</v>
      </c>
      <c r="B480" s="46" t="s">
        <v>45</v>
      </c>
      <c r="C480" s="44" t="s">
        <v>119</v>
      </c>
      <c r="D480" s="47" t="s">
        <v>1166</v>
      </c>
      <c r="E480" s="46" t="s">
        <v>1169</v>
      </c>
      <c r="F480" s="35">
        <v>10000</v>
      </c>
      <c r="G480" s="40">
        <v>10500</v>
      </c>
      <c r="H480" s="35">
        <v>10000</v>
      </c>
      <c r="I480" s="35">
        <f t="shared" si="16"/>
        <v>20500</v>
      </c>
      <c r="J480" s="36">
        <f t="shared" si="17"/>
        <v>0.95238095238095233</v>
      </c>
      <c r="K480" s="48" t="s">
        <v>37</v>
      </c>
      <c r="L480" s="48" t="s">
        <v>37</v>
      </c>
      <c r="M480" s="38">
        <v>41455</v>
      </c>
      <c r="N480" s="48" t="s">
        <v>36</v>
      </c>
      <c r="O480" s="35">
        <v>10000</v>
      </c>
      <c r="P480" s="35"/>
      <c r="Q480" s="35"/>
    </row>
    <row r="481" spans="1:17" s="15" customFormat="1" ht="38.25" customHeight="1" x14ac:dyDescent="0.2">
      <c r="A481" s="43" t="s">
        <v>1265</v>
      </c>
      <c r="B481" s="46" t="s">
        <v>45</v>
      </c>
      <c r="C481" s="44" t="s">
        <v>905</v>
      </c>
      <c r="D481" s="47" t="s">
        <v>1270</v>
      </c>
      <c r="E481" s="46" t="s">
        <v>1275</v>
      </c>
      <c r="F481" s="35">
        <v>9802</v>
      </c>
      <c r="G481" s="40">
        <v>9802</v>
      </c>
      <c r="H481" s="35">
        <v>9802</v>
      </c>
      <c r="I481" s="35">
        <f t="shared" si="16"/>
        <v>19604</v>
      </c>
      <c r="J481" s="36">
        <f t="shared" si="17"/>
        <v>1</v>
      </c>
      <c r="K481" s="48" t="s">
        <v>37</v>
      </c>
      <c r="L481" s="48" t="s">
        <v>37</v>
      </c>
      <c r="M481" s="38">
        <v>41455</v>
      </c>
      <c r="N481" s="48" t="s">
        <v>36</v>
      </c>
      <c r="O481" s="35">
        <v>9802</v>
      </c>
      <c r="P481" s="35"/>
      <c r="Q481" s="35"/>
    </row>
    <row r="482" spans="1:17" s="15" customFormat="1" ht="26.25" customHeight="1" x14ac:dyDescent="0.2">
      <c r="A482" s="43" t="s">
        <v>1266</v>
      </c>
      <c r="B482" s="46" t="s">
        <v>45</v>
      </c>
      <c r="C482" s="44" t="s">
        <v>1269</v>
      </c>
      <c r="D482" s="47" t="s">
        <v>1271</v>
      </c>
      <c r="E482" s="46" t="s">
        <v>1274</v>
      </c>
      <c r="F482" s="35">
        <v>36400</v>
      </c>
      <c r="G482" s="40">
        <v>403563</v>
      </c>
      <c r="H482" s="35">
        <f>134521+7000+134521+36400</f>
        <v>312442</v>
      </c>
      <c r="I482" s="35">
        <f t="shared" si="16"/>
        <v>716005</v>
      </c>
      <c r="J482" s="36">
        <f t="shared" si="17"/>
        <v>0.77420873568686921</v>
      </c>
      <c r="K482" s="48" t="s">
        <v>37</v>
      </c>
      <c r="L482" s="48" t="s">
        <v>37</v>
      </c>
      <c r="M482" s="38">
        <v>41455</v>
      </c>
      <c r="N482" s="48" t="s">
        <v>36</v>
      </c>
      <c r="O482" s="35">
        <v>36400</v>
      </c>
      <c r="P482" s="35"/>
      <c r="Q482" s="35"/>
    </row>
    <row r="483" spans="1:17" s="15" customFormat="1" ht="26.25" customHeight="1" x14ac:dyDescent="0.2">
      <c r="A483" s="43" t="s">
        <v>159</v>
      </c>
      <c r="B483" s="46" t="s">
        <v>65</v>
      </c>
      <c r="C483" s="44" t="s">
        <v>212</v>
      </c>
      <c r="D483" s="47">
        <v>4011</v>
      </c>
      <c r="E483" s="46" t="s">
        <v>187</v>
      </c>
      <c r="F483" s="49">
        <f>13752*3</f>
        <v>41256</v>
      </c>
      <c r="G483" s="50">
        <f>13752*3</f>
        <v>41256</v>
      </c>
      <c r="H483" s="49">
        <v>0</v>
      </c>
      <c r="I483" s="49">
        <f t="shared" si="16"/>
        <v>41256</v>
      </c>
      <c r="J483" s="51">
        <f t="shared" si="17"/>
        <v>0</v>
      </c>
      <c r="K483" s="48" t="s">
        <v>37</v>
      </c>
      <c r="L483" s="48" t="s">
        <v>37</v>
      </c>
      <c r="M483" s="52">
        <v>41455</v>
      </c>
      <c r="N483" s="48" t="s">
        <v>64</v>
      </c>
      <c r="O483" s="41">
        <v>13752</v>
      </c>
      <c r="P483" s="41">
        <v>13752</v>
      </c>
      <c r="Q483" s="41">
        <v>13752</v>
      </c>
    </row>
    <row r="484" spans="1:17" s="15" customFormat="1" ht="26.25" customHeight="1" x14ac:dyDescent="0.2">
      <c r="A484" s="43" t="s">
        <v>162</v>
      </c>
      <c r="B484" s="46" t="s">
        <v>65</v>
      </c>
      <c r="C484" s="44" t="s">
        <v>213</v>
      </c>
      <c r="D484" s="47">
        <v>4032</v>
      </c>
      <c r="E484" s="46" t="s">
        <v>190</v>
      </c>
      <c r="F484" s="49">
        <f>15250*3</f>
        <v>45750</v>
      </c>
      <c r="G484" s="50">
        <f>15250*3</f>
        <v>45750</v>
      </c>
      <c r="H484" s="49">
        <v>0</v>
      </c>
      <c r="I484" s="49">
        <f t="shared" si="16"/>
        <v>45750</v>
      </c>
      <c r="J484" s="51">
        <f t="shared" si="17"/>
        <v>0</v>
      </c>
      <c r="K484" s="48" t="s">
        <v>37</v>
      </c>
      <c r="L484" s="48" t="s">
        <v>37</v>
      </c>
      <c r="M484" s="52">
        <v>41455</v>
      </c>
      <c r="N484" s="48" t="s">
        <v>64</v>
      </c>
      <c r="O484" s="41">
        <v>15250</v>
      </c>
      <c r="P484" s="41">
        <v>15250</v>
      </c>
      <c r="Q484" s="41">
        <v>15250</v>
      </c>
    </row>
    <row r="485" spans="1:17" s="15" customFormat="1" ht="26.25" customHeight="1" x14ac:dyDescent="0.2">
      <c r="A485" s="43" t="s">
        <v>716</v>
      </c>
      <c r="B485" s="46" t="s">
        <v>65</v>
      </c>
      <c r="C485" s="44" t="s">
        <v>729</v>
      </c>
      <c r="D485" s="34">
        <v>4792</v>
      </c>
      <c r="E485" s="46" t="s">
        <v>725</v>
      </c>
      <c r="F485" s="35">
        <v>62910</v>
      </c>
      <c r="G485" s="40">
        <v>62910</v>
      </c>
      <c r="H485" s="35">
        <v>0</v>
      </c>
      <c r="I485" s="35">
        <f t="shared" si="16"/>
        <v>62910</v>
      </c>
      <c r="J485" s="36">
        <f t="shared" si="17"/>
        <v>0</v>
      </c>
      <c r="K485" s="48" t="s">
        <v>37</v>
      </c>
      <c r="L485" s="48" t="s">
        <v>37</v>
      </c>
      <c r="M485" s="38">
        <v>42277</v>
      </c>
      <c r="N485" s="37"/>
      <c r="O485" s="35">
        <v>62910</v>
      </c>
      <c r="P485" s="35"/>
      <c r="Q485" s="35"/>
    </row>
    <row r="486" spans="1:17" s="15" customFormat="1" ht="26.25" customHeight="1" x14ac:dyDescent="0.2">
      <c r="A486" s="43" t="s">
        <v>441</v>
      </c>
      <c r="B486" s="46" t="s">
        <v>452</v>
      </c>
      <c r="C486" s="44" t="s">
        <v>455</v>
      </c>
      <c r="D486" s="47">
        <v>4343</v>
      </c>
      <c r="E486" s="46" t="s">
        <v>467</v>
      </c>
      <c r="F486" s="35">
        <v>7309</v>
      </c>
      <c r="G486" s="40">
        <v>7309</v>
      </c>
      <c r="H486" s="35">
        <v>0</v>
      </c>
      <c r="I486" s="35">
        <f t="shared" si="16"/>
        <v>7309</v>
      </c>
      <c r="J486" s="36">
        <f t="shared" si="17"/>
        <v>0</v>
      </c>
      <c r="K486" s="48" t="s">
        <v>37</v>
      </c>
      <c r="L486" s="48" t="s">
        <v>37</v>
      </c>
      <c r="M486" s="38">
        <v>41152</v>
      </c>
      <c r="N486" s="48"/>
      <c r="O486" s="41">
        <v>7309</v>
      </c>
      <c r="P486" s="41"/>
      <c r="Q486" s="41"/>
    </row>
    <row r="487" spans="1:17" s="15" customFormat="1" ht="26.25" customHeight="1" x14ac:dyDescent="0.2">
      <c r="A487" s="43" t="s">
        <v>775</v>
      </c>
      <c r="B487" s="46" t="s">
        <v>790</v>
      </c>
      <c r="C487" s="44" t="s">
        <v>800</v>
      </c>
      <c r="D487" s="34">
        <v>4878</v>
      </c>
      <c r="E487" s="46" t="s">
        <v>787</v>
      </c>
      <c r="F487" s="35">
        <v>73960</v>
      </c>
      <c r="G487" s="40">
        <v>73960</v>
      </c>
      <c r="H487" s="35">
        <v>0</v>
      </c>
      <c r="I487" s="35">
        <f t="shared" si="16"/>
        <v>73960</v>
      </c>
      <c r="J487" s="36">
        <f t="shared" si="17"/>
        <v>0</v>
      </c>
      <c r="K487" s="48" t="s">
        <v>37</v>
      </c>
      <c r="L487" s="48" t="s">
        <v>37</v>
      </c>
      <c r="M487" s="38">
        <v>42674</v>
      </c>
      <c r="N487" s="37"/>
      <c r="O487" s="35">
        <v>73960</v>
      </c>
      <c r="P487" s="35"/>
      <c r="Q487" s="35"/>
    </row>
    <row r="488" spans="1:17" s="15" customFormat="1" ht="18" customHeight="1" x14ac:dyDescent="0.2">
      <c r="A488" s="43" t="s">
        <v>144</v>
      </c>
      <c r="B488" s="46" t="s">
        <v>43</v>
      </c>
      <c r="C488" s="44"/>
      <c r="D488" s="34"/>
      <c r="E488" s="46"/>
      <c r="F488" s="35"/>
      <c r="G488" s="40"/>
      <c r="H488" s="35"/>
      <c r="I488" s="35"/>
      <c r="J488" s="36"/>
      <c r="K488" s="48"/>
      <c r="L488" s="48"/>
      <c r="M488" s="38"/>
      <c r="N488" s="37"/>
      <c r="O488" s="35"/>
      <c r="P488" s="35"/>
      <c r="Q488" s="35"/>
    </row>
    <row r="489" spans="1:17" s="15" customFormat="1" ht="18" customHeight="1" x14ac:dyDescent="0.2">
      <c r="A489" s="43" t="s">
        <v>1127</v>
      </c>
      <c r="B489" s="46" t="s">
        <v>43</v>
      </c>
      <c r="C489" s="44"/>
      <c r="D489" s="34"/>
      <c r="E489" s="46"/>
      <c r="F489" s="35"/>
      <c r="G489" s="40"/>
      <c r="H489" s="35"/>
      <c r="I489" s="35"/>
      <c r="J489" s="36"/>
      <c r="K489" s="48"/>
      <c r="L489" s="48"/>
      <c r="M489" s="38"/>
      <c r="N489" s="37"/>
      <c r="O489" s="35"/>
      <c r="P489" s="35"/>
      <c r="Q489" s="35"/>
    </row>
    <row r="490" spans="1:17" s="15" customFormat="1" ht="18" customHeight="1" x14ac:dyDescent="0.2">
      <c r="A490" s="43" t="s">
        <v>1326</v>
      </c>
      <c r="B490" s="46" t="s">
        <v>43</v>
      </c>
      <c r="C490" s="44"/>
      <c r="D490" s="34"/>
      <c r="E490" s="46"/>
      <c r="F490" s="35"/>
      <c r="G490" s="40"/>
      <c r="H490" s="35"/>
      <c r="I490" s="35"/>
      <c r="J490" s="36"/>
      <c r="K490" s="48"/>
      <c r="L490" s="48"/>
      <c r="M490" s="38"/>
      <c r="N490" s="37"/>
      <c r="O490" s="35"/>
      <c r="P490" s="35"/>
      <c r="Q490" s="35"/>
    </row>
    <row r="491" spans="1:17" s="15" customFormat="1" ht="18" customHeight="1" x14ac:dyDescent="0.2">
      <c r="A491" s="43" t="s">
        <v>1327</v>
      </c>
      <c r="B491" s="46" t="s">
        <v>43</v>
      </c>
      <c r="C491" s="44"/>
      <c r="D491" s="34"/>
      <c r="E491" s="46"/>
      <c r="F491" s="35"/>
      <c r="G491" s="40"/>
      <c r="H491" s="35"/>
      <c r="I491" s="35"/>
      <c r="J491" s="36"/>
      <c r="K491" s="48"/>
      <c r="L491" s="48"/>
      <c r="M491" s="38"/>
      <c r="N491" s="37"/>
      <c r="O491" s="35"/>
      <c r="P491" s="35"/>
      <c r="Q491" s="35"/>
    </row>
    <row r="492" spans="1:17" s="15" customFormat="1" ht="26.25" customHeight="1" x14ac:dyDescent="0.2">
      <c r="A492" s="43"/>
      <c r="B492" s="46"/>
      <c r="C492" s="44"/>
      <c r="D492" s="34"/>
      <c r="E492" s="46"/>
      <c r="F492" s="35"/>
      <c r="G492" s="40"/>
      <c r="H492" s="35"/>
      <c r="I492" s="35"/>
      <c r="J492" s="36"/>
      <c r="K492" s="37"/>
      <c r="L492" s="37"/>
      <c r="M492" s="38"/>
      <c r="N492" s="37"/>
      <c r="O492" s="35"/>
      <c r="P492" s="35"/>
      <c r="Q492" s="35"/>
    </row>
    <row r="493" spans="1:17" s="20" customFormat="1" ht="26.25" customHeight="1" x14ac:dyDescent="0.2">
      <c r="A493" s="14"/>
      <c r="B493" s="27"/>
      <c r="C493" s="33"/>
      <c r="D493" s="33"/>
      <c r="E493" s="11" t="s">
        <v>4</v>
      </c>
      <c r="F493" s="26">
        <f>SUM(F2:F492)</f>
        <v>27975411</v>
      </c>
      <c r="G493" s="26">
        <f>SUM(G2:G492)</f>
        <v>30462952</v>
      </c>
      <c r="H493" s="26">
        <f>SUM(H2:H492)</f>
        <v>4262600</v>
      </c>
      <c r="I493" s="26">
        <f>SUM(I2:I492)</f>
        <v>34725552</v>
      </c>
      <c r="J493" s="16"/>
      <c r="K493" s="17"/>
      <c r="L493" s="17"/>
      <c r="M493" s="18"/>
      <c r="N493" s="17"/>
      <c r="O493" s="26">
        <f>SUM(O2:O492)</f>
        <v>16426838</v>
      </c>
      <c r="P493" s="26">
        <f>SUM(P2:P492)</f>
        <v>5859074</v>
      </c>
      <c r="Q493" s="26">
        <f>SUM(Q2:Q492)</f>
        <v>5689499</v>
      </c>
    </row>
    <row r="494" spans="1:17" s="20" customFormat="1" ht="15" x14ac:dyDescent="0.2">
      <c r="A494" s="21"/>
      <c r="B494" s="22"/>
      <c r="C494" s="23"/>
      <c r="D494" s="23"/>
      <c r="E494" s="22"/>
      <c r="F494" s="19"/>
      <c r="G494" s="19"/>
      <c r="H494" s="19"/>
      <c r="J494" s="24"/>
      <c r="K494" s="25"/>
      <c r="L494" s="25"/>
      <c r="N494" s="25"/>
    </row>
    <row r="495" spans="1:17" ht="15" x14ac:dyDescent="0.2">
      <c r="A495" s="30"/>
      <c r="B495" s="31"/>
      <c r="C495" s="4"/>
      <c r="F495" s="19"/>
      <c r="G495" s="19"/>
      <c r="H495" s="19"/>
      <c r="I495" s="20"/>
      <c r="P495" s="28"/>
    </row>
    <row r="496" spans="1:17" x14ac:dyDescent="0.2">
      <c r="C496" s="4"/>
    </row>
    <row r="497" spans="3:16" x14ac:dyDescent="0.2">
      <c r="C497" s="4"/>
      <c r="P497" s="28"/>
    </row>
    <row r="498" spans="3:16" x14ac:dyDescent="0.2">
      <c r="C498" s="4"/>
    </row>
    <row r="499" spans="3:16" x14ac:dyDescent="0.2">
      <c r="C499" s="4"/>
      <c r="G499" s="32"/>
      <c r="P499" s="29"/>
    </row>
    <row r="500" spans="3:16" x14ac:dyDescent="0.2">
      <c r="C500" s="4"/>
    </row>
    <row r="501" spans="3:16" x14ac:dyDescent="0.2">
      <c r="C501" s="4"/>
    </row>
    <row r="502" spans="3:16" x14ac:dyDescent="0.2">
      <c r="C502" s="4"/>
    </row>
    <row r="503" spans="3:16" x14ac:dyDescent="0.2">
      <c r="C503" s="4"/>
    </row>
    <row r="504" spans="3:16" x14ac:dyDescent="0.2">
      <c r="C504" s="4"/>
    </row>
    <row r="505" spans="3:16" x14ac:dyDescent="0.2">
      <c r="C505" s="4"/>
    </row>
    <row r="506" spans="3:16" x14ac:dyDescent="0.2">
      <c r="C506" s="4"/>
    </row>
    <row r="507" spans="3:16" x14ac:dyDescent="0.2">
      <c r="C507" s="4"/>
    </row>
    <row r="508" spans="3:16" x14ac:dyDescent="0.2">
      <c r="C508" s="4"/>
    </row>
    <row r="509" spans="3:16" x14ac:dyDescent="0.2">
      <c r="C509" s="4"/>
    </row>
    <row r="510" spans="3:16" x14ac:dyDescent="0.2">
      <c r="C510" s="4"/>
    </row>
    <row r="511" spans="3:16" x14ac:dyDescent="0.2">
      <c r="C511" s="4"/>
    </row>
    <row r="512" spans="3:16" x14ac:dyDescent="0.2">
      <c r="C512" s="4"/>
    </row>
    <row r="513" spans="1:18" s="4" customFormat="1" x14ac:dyDescent="0.2">
      <c r="A513" s="12"/>
      <c r="B513" s="2"/>
      <c r="E513" s="2"/>
      <c r="F513" s="3"/>
      <c r="G513" s="3"/>
      <c r="H513" s="3"/>
      <c r="I513"/>
      <c r="J513" s="5"/>
      <c r="K513" s="1"/>
      <c r="L513" s="1"/>
      <c r="M513"/>
      <c r="N513" s="1"/>
      <c r="O513"/>
      <c r="P513"/>
      <c r="Q513"/>
      <c r="R513"/>
    </row>
    <row r="514" spans="1:18" s="4" customFormat="1" x14ac:dyDescent="0.2">
      <c r="A514" s="12"/>
      <c r="B514" s="2"/>
      <c r="E514" s="2"/>
      <c r="F514" s="3"/>
      <c r="G514" s="3"/>
      <c r="H514" s="3"/>
      <c r="I514"/>
      <c r="J514" s="5"/>
      <c r="K514" s="1"/>
      <c r="L514" s="1"/>
      <c r="M514"/>
      <c r="N514" s="1"/>
      <c r="O514"/>
      <c r="P514"/>
      <c r="Q514"/>
      <c r="R514"/>
    </row>
    <row r="515" spans="1:18" s="4" customFormat="1" x14ac:dyDescent="0.2">
      <c r="A515" s="12"/>
      <c r="B515" s="2"/>
      <c r="E515" s="2"/>
      <c r="F515" s="3"/>
      <c r="G515" s="3"/>
      <c r="H515" s="3"/>
      <c r="I515"/>
      <c r="J515" s="5"/>
      <c r="K515" s="1"/>
      <c r="L515" s="1"/>
      <c r="M515"/>
      <c r="N515" s="1"/>
      <c r="O515"/>
      <c r="P515"/>
      <c r="Q515"/>
      <c r="R515"/>
    </row>
    <row r="516" spans="1:18" s="4" customFormat="1" x14ac:dyDescent="0.2">
      <c r="A516" s="12"/>
      <c r="B516" s="2"/>
      <c r="E516" s="2"/>
      <c r="F516" s="3"/>
      <c r="G516" s="3"/>
      <c r="H516" s="3"/>
      <c r="I516"/>
      <c r="J516" s="5"/>
      <c r="K516" s="1"/>
      <c r="L516" s="1"/>
      <c r="M516"/>
      <c r="N516" s="1"/>
      <c r="O516"/>
      <c r="P516"/>
      <c r="Q516"/>
      <c r="R516"/>
    </row>
    <row r="517" spans="1:18" s="4" customFormat="1" x14ac:dyDescent="0.2">
      <c r="A517" s="12"/>
      <c r="B517" s="2"/>
      <c r="E517" s="2"/>
      <c r="F517" s="3"/>
      <c r="G517" s="3"/>
      <c r="H517" s="3"/>
      <c r="I517"/>
      <c r="J517" s="5"/>
      <c r="K517" s="1"/>
      <c r="L517" s="1"/>
      <c r="M517"/>
      <c r="N517" s="1"/>
      <c r="O517"/>
      <c r="P517"/>
      <c r="Q517"/>
      <c r="R517"/>
    </row>
    <row r="518" spans="1:18" s="4" customFormat="1" x14ac:dyDescent="0.2">
      <c r="A518" s="12"/>
      <c r="B518" s="2"/>
      <c r="E518" s="2"/>
      <c r="F518" s="3"/>
      <c r="G518" s="3"/>
      <c r="H518" s="3"/>
      <c r="I518"/>
      <c r="J518" s="5"/>
      <c r="K518" s="1"/>
      <c r="L518" s="1"/>
      <c r="M518"/>
      <c r="N518" s="1"/>
      <c r="O518"/>
      <c r="P518"/>
      <c r="Q518"/>
      <c r="R518"/>
    </row>
    <row r="519" spans="1:18" s="4" customFormat="1" x14ac:dyDescent="0.2">
      <c r="A519" s="12"/>
      <c r="B519" s="2"/>
      <c r="E519" s="2"/>
      <c r="F519" s="3"/>
      <c r="G519" s="3"/>
      <c r="H519" s="3"/>
      <c r="I519"/>
      <c r="J519" s="5"/>
      <c r="K519" s="1"/>
      <c r="L519" s="1"/>
      <c r="M519"/>
      <c r="N519" s="1"/>
      <c r="O519"/>
      <c r="P519"/>
      <c r="Q519"/>
      <c r="R519"/>
    </row>
    <row r="520" spans="1:18" s="4" customFormat="1" x14ac:dyDescent="0.2">
      <c r="A520" s="12"/>
      <c r="B520" s="2"/>
      <c r="E520" s="2"/>
      <c r="F520" s="3"/>
      <c r="G520" s="3"/>
      <c r="H520" s="3"/>
      <c r="I520"/>
      <c r="J520" s="5"/>
      <c r="K520" s="1"/>
      <c r="L520" s="1"/>
      <c r="M520"/>
      <c r="N520" s="1"/>
      <c r="O520"/>
      <c r="P520"/>
      <c r="Q520"/>
      <c r="R520"/>
    </row>
    <row r="521" spans="1:18" s="4" customFormat="1" x14ac:dyDescent="0.2">
      <c r="A521" s="12"/>
      <c r="B521" s="2"/>
      <c r="E521" s="2"/>
      <c r="F521" s="3"/>
      <c r="G521" s="3"/>
      <c r="H521" s="3"/>
      <c r="I521"/>
      <c r="J521" s="5"/>
      <c r="K521" s="1"/>
      <c r="L521" s="1"/>
      <c r="M521"/>
      <c r="N521" s="1"/>
      <c r="O521"/>
      <c r="P521"/>
      <c r="Q521"/>
      <c r="R521"/>
    </row>
    <row r="522" spans="1:18" s="4" customFormat="1" x14ac:dyDescent="0.2">
      <c r="A522" s="12"/>
      <c r="B522" s="2"/>
      <c r="E522" s="2"/>
      <c r="F522" s="3"/>
      <c r="G522" s="3"/>
      <c r="H522" s="3"/>
      <c r="I522"/>
      <c r="J522" s="5"/>
      <c r="K522" s="1"/>
      <c r="L522" s="1"/>
      <c r="M522"/>
      <c r="N522" s="1"/>
      <c r="O522"/>
      <c r="P522"/>
      <c r="Q522"/>
      <c r="R522"/>
    </row>
    <row r="523" spans="1:18" s="4" customFormat="1" x14ac:dyDescent="0.2">
      <c r="A523" s="12"/>
      <c r="B523" s="2"/>
      <c r="E523" s="2"/>
      <c r="F523" s="3"/>
      <c r="G523" s="3"/>
      <c r="H523" s="3"/>
      <c r="I523"/>
      <c r="J523" s="5"/>
      <c r="K523" s="1"/>
      <c r="L523" s="1"/>
      <c r="M523"/>
      <c r="N523" s="1"/>
      <c r="O523"/>
      <c r="P523"/>
      <c r="Q523"/>
      <c r="R523"/>
    </row>
    <row r="524" spans="1:18" s="4" customFormat="1" x14ac:dyDescent="0.2">
      <c r="A524" s="12"/>
      <c r="B524" s="2"/>
      <c r="E524" s="2"/>
      <c r="F524" s="3"/>
      <c r="G524" s="3"/>
      <c r="H524" s="3"/>
      <c r="I524"/>
      <c r="J524" s="5"/>
      <c r="K524" s="1"/>
      <c r="L524" s="1"/>
      <c r="M524"/>
      <c r="N524" s="1"/>
      <c r="O524"/>
      <c r="P524"/>
      <c r="Q524"/>
      <c r="R524"/>
    </row>
    <row r="525" spans="1:18" s="4" customFormat="1" x14ac:dyDescent="0.2">
      <c r="A525" s="12"/>
      <c r="B525" s="2"/>
      <c r="E525" s="2"/>
      <c r="F525" s="3"/>
      <c r="G525" s="3"/>
      <c r="H525" s="3"/>
      <c r="I525"/>
      <c r="J525" s="5"/>
      <c r="K525" s="1"/>
      <c r="L525" s="1"/>
      <c r="M525"/>
      <c r="N525" s="1"/>
      <c r="O525"/>
      <c r="P525"/>
      <c r="Q525"/>
      <c r="R525"/>
    </row>
    <row r="526" spans="1:18" s="4" customFormat="1" x14ac:dyDescent="0.2">
      <c r="A526" s="12"/>
      <c r="B526" s="2"/>
      <c r="E526" s="2"/>
      <c r="F526" s="3"/>
      <c r="G526" s="3"/>
      <c r="H526" s="3"/>
      <c r="I526"/>
      <c r="J526" s="5"/>
      <c r="K526" s="1"/>
      <c r="L526" s="1"/>
      <c r="M526"/>
      <c r="N526" s="1"/>
      <c r="O526"/>
      <c r="P526"/>
      <c r="Q526"/>
      <c r="R526"/>
    </row>
    <row r="527" spans="1:18" s="4" customFormat="1" x14ac:dyDescent="0.2">
      <c r="A527" s="12"/>
      <c r="B527" s="2"/>
      <c r="E527" s="2"/>
      <c r="F527" s="3"/>
      <c r="G527" s="3"/>
      <c r="H527" s="3"/>
      <c r="I527"/>
      <c r="J527" s="5"/>
      <c r="K527" s="1"/>
      <c r="L527" s="1"/>
      <c r="M527"/>
      <c r="N527" s="1"/>
      <c r="O527"/>
      <c r="P527"/>
      <c r="Q527"/>
      <c r="R527"/>
    </row>
    <row r="528" spans="1:18" s="4" customFormat="1" x14ac:dyDescent="0.2">
      <c r="A528" s="12"/>
      <c r="B528" s="2"/>
      <c r="E528" s="2"/>
      <c r="F528" s="3"/>
      <c r="G528" s="3"/>
      <c r="H528" s="3"/>
      <c r="I528"/>
      <c r="J528" s="5"/>
      <c r="K528" s="1"/>
      <c r="L528" s="1"/>
      <c r="M528"/>
      <c r="N528" s="1"/>
      <c r="O528"/>
      <c r="P528"/>
      <c r="Q528"/>
      <c r="R528"/>
    </row>
    <row r="529" spans="1:18" s="4" customFormat="1" x14ac:dyDescent="0.2">
      <c r="A529" s="12"/>
      <c r="B529" s="2"/>
      <c r="E529" s="2"/>
      <c r="F529" s="3"/>
      <c r="G529" s="3"/>
      <c r="H529" s="3"/>
      <c r="I529"/>
      <c r="J529" s="5"/>
      <c r="K529" s="1"/>
      <c r="L529" s="1"/>
      <c r="M529"/>
      <c r="N529" s="1"/>
      <c r="O529"/>
      <c r="P529"/>
      <c r="Q529"/>
      <c r="R529"/>
    </row>
    <row r="530" spans="1:18" s="4" customFormat="1" x14ac:dyDescent="0.2">
      <c r="A530" s="12"/>
      <c r="B530" s="2"/>
      <c r="E530" s="2"/>
      <c r="F530" s="3"/>
      <c r="G530" s="3"/>
      <c r="H530" s="3"/>
      <c r="I530"/>
      <c r="J530" s="5"/>
      <c r="K530" s="1"/>
      <c r="L530" s="1"/>
      <c r="M530"/>
      <c r="N530" s="1"/>
      <c r="O530"/>
      <c r="P530"/>
      <c r="Q530"/>
      <c r="R530"/>
    </row>
    <row r="531" spans="1:18" s="4" customFormat="1" x14ac:dyDescent="0.2">
      <c r="A531" s="12"/>
      <c r="B531" s="2"/>
      <c r="E531" s="2"/>
      <c r="F531" s="3"/>
      <c r="G531" s="3"/>
      <c r="H531" s="3"/>
      <c r="I531"/>
      <c r="J531" s="5"/>
      <c r="K531" s="1"/>
      <c r="L531" s="1"/>
      <c r="M531"/>
      <c r="N531" s="1"/>
      <c r="O531"/>
      <c r="P531"/>
      <c r="Q531"/>
      <c r="R531"/>
    </row>
    <row r="532" spans="1:18" s="4" customFormat="1" x14ac:dyDescent="0.2">
      <c r="A532" s="12"/>
      <c r="B532" s="2"/>
      <c r="E532" s="2"/>
      <c r="F532" s="3"/>
      <c r="G532" s="3"/>
      <c r="H532" s="3"/>
      <c r="I532"/>
      <c r="J532" s="5"/>
      <c r="K532" s="1"/>
      <c r="L532" s="1"/>
      <c r="M532"/>
      <c r="N532" s="1"/>
      <c r="O532"/>
      <c r="P532"/>
      <c r="Q532"/>
      <c r="R532"/>
    </row>
    <row r="533" spans="1:18" s="4" customFormat="1" x14ac:dyDescent="0.2">
      <c r="A533" s="12"/>
      <c r="B533" s="2"/>
      <c r="E533" s="2"/>
      <c r="F533" s="3"/>
      <c r="G533" s="3"/>
      <c r="H533" s="3"/>
      <c r="I533"/>
      <c r="J533" s="5"/>
      <c r="K533" s="1"/>
      <c r="L533" s="1"/>
      <c r="M533"/>
      <c r="N533" s="1"/>
      <c r="O533"/>
      <c r="P533"/>
      <c r="Q533"/>
      <c r="R533"/>
    </row>
    <row r="534" spans="1:18" s="4" customFormat="1" x14ac:dyDescent="0.2">
      <c r="A534" s="12"/>
      <c r="B534" s="2"/>
      <c r="E534" s="2"/>
      <c r="F534" s="3"/>
      <c r="G534" s="3"/>
      <c r="H534" s="3"/>
      <c r="I534"/>
      <c r="J534" s="5"/>
      <c r="K534" s="1"/>
      <c r="L534" s="1"/>
      <c r="M534"/>
      <c r="N534" s="1"/>
      <c r="O534"/>
      <c r="P534"/>
      <c r="Q534"/>
      <c r="R534"/>
    </row>
    <row r="535" spans="1:18" s="4" customFormat="1" x14ac:dyDescent="0.2">
      <c r="A535" s="12"/>
      <c r="B535" s="2"/>
      <c r="E535" s="2"/>
      <c r="F535" s="3"/>
      <c r="G535" s="3"/>
      <c r="H535" s="3"/>
      <c r="I535"/>
      <c r="J535" s="5"/>
      <c r="K535" s="1"/>
      <c r="L535" s="1"/>
      <c r="M535"/>
      <c r="N535" s="1"/>
      <c r="O535"/>
      <c r="P535"/>
      <c r="Q535"/>
      <c r="R535"/>
    </row>
    <row r="536" spans="1:18" s="4" customFormat="1" x14ac:dyDescent="0.2">
      <c r="A536" s="12"/>
      <c r="B536" s="2"/>
      <c r="E536" s="2"/>
      <c r="F536" s="3"/>
      <c r="G536" s="3"/>
      <c r="H536" s="3"/>
      <c r="I536"/>
      <c r="J536" s="5"/>
      <c r="K536" s="1"/>
      <c r="L536" s="1"/>
      <c r="M536"/>
      <c r="N536" s="1"/>
      <c r="O536"/>
      <c r="P536"/>
      <c r="Q536"/>
      <c r="R536"/>
    </row>
    <row r="537" spans="1:18" s="4" customFormat="1" x14ac:dyDescent="0.2">
      <c r="A537" s="12"/>
      <c r="B537" s="2"/>
      <c r="E537" s="2"/>
      <c r="F537" s="3"/>
      <c r="G537" s="3"/>
      <c r="H537" s="3"/>
      <c r="I537"/>
      <c r="J537" s="5"/>
      <c r="K537" s="1"/>
      <c r="L537" s="1"/>
      <c r="M537"/>
      <c r="N537" s="1"/>
      <c r="O537"/>
      <c r="P537"/>
      <c r="Q537"/>
      <c r="R537"/>
    </row>
    <row r="538" spans="1:18" s="4" customFormat="1" x14ac:dyDescent="0.2">
      <c r="A538" s="12"/>
      <c r="B538" s="2"/>
      <c r="E538" s="2"/>
      <c r="F538" s="3"/>
      <c r="G538" s="3"/>
      <c r="H538" s="3"/>
      <c r="I538"/>
      <c r="J538" s="5"/>
      <c r="K538" s="1"/>
      <c r="L538" s="1"/>
      <c r="M538"/>
      <c r="N538" s="1"/>
      <c r="O538"/>
      <c r="P538"/>
      <c r="Q538"/>
      <c r="R538"/>
    </row>
    <row r="539" spans="1:18" s="4" customFormat="1" x14ac:dyDescent="0.2">
      <c r="A539" s="12"/>
      <c r="B539" s="2"/>
      <c r="E539" s="2"/>
      <c r="F539" s="3"/>
      <c r="G539" s="3"/>
      <c r="H539" s="3"/>
      <c r="I539"/>
      <c r="J539" s="5"/>
      <c r="K539" s="1"/>
      <c r="L539" s="1"/>
      <c r="M539"/>
      <c r="N539" s="1"/>
      <c r="O539"/>
      <c r="P539"/>
      <c r="Q539"/>
      <c r="R539"/>
    </row>
    <row r="540" spans="1:18" s="4" customFormat="1" x14ac:dyDescent="0.2">
      <c r="A540" s="12"/>
      <c r="B540" s="2"/>
      <c r="E540" s="2"/>
      <c r="F540" s="3"/>
      <c r="G540" s="3"/>
      <c r="H540" s="3"/>
      <c r="I540"/>
      <c r="J540" s="5"/>
      <c r="K540" s="1"/>
      <c r="L540" s="1"/>
      <c r="M540"/>
      <c r="N540" s="1"/>
      <c r="O540"/>
      <c r="P540"/>
      <c r="Q540"/>
      <c r="R540"/>
    </row>
    <row r="541" spans="1:18" s="4" customFormat="1" x14ac:dyDescent="0.2">
      <c r="A541" s="12"/>
      <c r="B541" s="2"/>
      <c r="E541" s="2"/>
      <c r="F541" s="3"/>
      <c r="G541" s="3"/>
      <c r="H541" s="3"/>
      <c r="I541"/>
      <c r="J541" s="5"/>
      <c r="K541" s="1"/>
      <c r="L541" s="1"/>
      <c r="M541"/>
      <c r="N541" s="1"/>
      <c r="O541"/>
      <c r="P541"/>
      <c r="Q541"/>
      <c r="R541"/>
    </row>
    <row r="542" spans="1:18" s="4" customFormat="1" x14ac:dyDescent="0.2">
      <c r="A542" s="12"/>
      <c r="B542" s="2"/>
      <c r="E542" s="2"/>
      <c r="F542" s="3"/>
      <c r="G542" s="3"/>
      <c r="H542" s="3"/>
      <c r="I542"/>
      <c r="J542" s="5"/>
      <c r="K542" s="1"/>
      <c r="L542" s="1"/>
      <c r="M542"/>
      <c r="N542" s="1"/>
      <c r="O542"/>
      <c r="P542"/>
      <c r="Q542"/>
      <c r="R542"/>
    </row>
    <row r="543" spans="1:18" s="4" customFormat="1" x14ac:dyDescent="0.2">
      <c r="A543" s="12"/>
      <c r="B543" s="2"/>
      <c r="E543" s="2"/>
      <c r="F543" s="3"/>
      <c r="G543" s="3"/>
      <c r="H543" s="3"/>
      <c r="I543"/>
      <c r="J543" s="5"/>
      <c r="K543" s="1"/>
      <c r="L543" s="1"/>
      <c r="M543"/>
      <c r="N543" s="1"/>
      <c r="O543"/>
      <c r="P543"/>
      <c r="Q543"/>
      <c r="R543"/>
    </row>
    <row r="544" spans="1:18" s="4" customFormat="1" x14ac:dyDescent="0.2">
      <c r="A544" s="12"/>
      <c r="B544" s="2"/>
      <c r="E544" s="2"/>
      <c r="F544" s="3"/>
      <c r="G544" s="3"/>
      <c r="H544" s="3"/>
      <c r="I544"/>
      <c r="J544" s="5"/>
      <c r="K544" s="1"/>
      <c r="L544" s="1"/>
      <c r="M544"/>
      <c r="N544" s="1"/>
      <c r="O544"/>
      <c r="P544"/>
      <c r="Q544"/>
      <c r="R544"/>
    </row>
    <row r="545" spans="1:18" s="4" customFormat="1" x14ac:dyDescent="0.2">
      <c r="A545" s="12"/>
      <c r="B545" s="2"/>
      <c r="E545" s="2"/>
      <c r="F545" s="3"/>
      <c r="G545" s="3"/>
      <c r="H545" s="3"/>
      <c r="I545"/>
      <c r="J545" s="5"/>
      <c r="K545" s="1"/>
      <c r="L545" s="1"/>
      <c r="M545"/>
      <c r="N545" s="1"/>
      <c r="O545"/>
      <c r="P545"/>
      <c r="Q545"/>
      <c r="R545"/>
    </row>
    <row r="546" spans="1:18" s="4" customFormat="1" x14ac:dyDescent="0.2">
      <c r="A546" s="12"/>
      <c r="B546" s="2"/>
      <c r="E546" s="2"/>
      <c r="F546" s="3"/>
      <c r="G546" s="3"/>
      <c r="H546" s="3"/>
      <c r="I546"/>
      <c r="J546" s="5"/>
      <c r="K546" s="1"/>
      <c r="L546" s="1"/>
      <c r="M546"/>
      <c r="N546" s="1"/>
      <c r="O546"/>
      <c r="P546"/>
      <c r="Q546"/>
      <c r="R546"/>
    </row>
    <row r="547" spans="1:18" s="4" customFormat="1" x14ac:dyDescent="0.2">
      <c r="A547" s="12"/>
      <c r="B547" s="2"/>
      <c r="E547" s="2"/>
      <c r="F547" s="3"/>
      <c r="G547" s="3"/>
      <c r="H547" s="3"/>
      <c r="I547"/>
      <c r="J547" s="5"/>
      <c r="K547" s="1"/>
      <c r="L547" s="1"/>
      <c r="M547"/>
      <c r="N547" s="1"/>
      <c r="O547"/>
      <c r="P547"/>
      <c r="Q547"/>
      <c r="R547"/>
    </row>
    <row r="548" spans="1:18" s="4" customFormat="1" x14ac:dyDescent="0.2">
      <c r="A548" s="12"/>
      <c r="B548" s="2"/>
      <c r="E548" s="2"/>
      <c r="F548" s="3"/>
      <c r="G548" s="3"/>
      <c r="H548" s="3"/>
      <c r="I548"/>
      <c r="J548" s="5"/>
      <c r="K548" s="1"/>
      <c r="L548" s="1"/>
      <c r="M548"/>
      <c r="N548" s="1"/>
      <c r="O548"/>
      <c r="P548"/>
      <c r="Q548"/>
      <c r="R548"/>
    </row>
    <row r="549" spans="1:18" s="4" customFormat="1" x14ac:dyDescent="0.2">
      <c r="A549" s="12"/>
      <c r="B549" s="2"/>
      <c r="E549" s="2"/>
      <c r="F549" s="3"/>
      <c r="G549" s="3"/>
      <c r="H549" s="3"/>
      <c r="I549"/>
      <c r="J549" s="5"/>
      <c r="K549" s="1"/>
      <c r="L549" s="1"/>
      <c r="M549"/>
      <c r="N549" s="1"/>
      <c r="O549"/>
      <c r="P549"/>
      <c r="Q549"/>
      <c r="R549"/>
    </row>
  </sheetData>
  <printOptions horizontalCentered="1"/>
  <pageMargins left="0.25" right="0.25" top="0.85" bottom="0.25" header="0.26" footer="0.31"/>
  <pageSetup paperSize="5" scale="65" orientation="landscape" r:id="rId1"/>
  <headerFooter alignWithMargins="0">
    <oddHeader>&amp;C&amp;"Arial,Bold"&amp;11 1153 FY2013
SUMMARY REPORT
BY DEPARTMENT
As of June 30, 2013&amp;RRun Date: &amp;D      &amp;T     
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9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8.7109375" style="12" customWidth="1"/>
    <col min="2" max="2" width="25.7109375" style="2" customWidth="1"/>
    <col min="3" max="3" width="22.85546875" customWidth="1"/>
    <col min="4" max="4" width="12.7109375" style="4" customWidth="1"/>
    <col min="5" max="5" width="58.42578125" style="2" customWidth="1"/>
    <col min="6" max="8" width="11.7109375" style="3" customWidth="1"/>
    <col min="9" max="9" width="11.5703125" customWidth="1"/>
    <col min="10" max="10" width="10.28515625" style="5" customWidth="1"/>
    <col min="11" max="11" width="6.28515625" style="1" customWidth="1"/>
    <col min="12" max="12" width="6.5703125" style="1" customWidth="1"/>
    <col min="13" max="13" width="10.5703125" customWidth="1"/>
    <col min="14" max="14" width="5.7109375" style="1" customWidth="1"/>
    <col min="15" max="15" width="12.42578125" customWidth="1"/>
    <col min="16" max="16" width="11.85546875" customWidth="1"/>
    <col min="17" max="17" width="11" customWidth="1"/>
  </cols>
  <sheetData>
    <row r="1" spans="1:17" ht="24" x14ac:dyDescent="0.2">
      <c r="A1" s="13" t="s">
        <v>0</v>
      </c>
      <c r="B1" s="10" t="s">
        <v>6</v>
      </c>
      <c r="C1" s="10" t="s">
        <v>7</v>
      </c>
      <c r="D1" s="10" t="s">
        <v>13</v>
      </c>
      <c r="E1" s="10" t="s">
        <v>8</v>
      </c>
      <c r="F1" s="6" t="s">
        <v>9</v>
      </c>
      <c r="G1" s="6" t="s">
        <v>10</v>
      </c>
      <c r="H1" s="7" t="s">
        <v>1</v>
      </c>
      <c r="I1" s="8" t="s">
        <v>11</v>
      </c>
      <c r="J1" s="9" t="s">
        <v>2</v>
      </c>
      <c r="K1" s="10" t="s">
        <v>16</v>
      </c>
      <c r="L1" s="10" t="s">
        <v>12</v>
      </c>
      <c r="M1" s="8" t="s">
        <v>3</v>
      </c>
      <c r="N1" s="8" t="s">
        <v>5</v>
      </c>
      <c r="O1" s="8" t="s">
        <v>14</v>
      </c>
      <c r="P1" s="8" t="s">
        <v>15</v>
      </c>
      <c r="Q1" s="8" t="s">
        <v>105</v>
      </c>
    </row>
    <row r="2" spans="1:17" ht="18" customHeight="1" x14ac:dyDescent="0.2">
      <c r="A2" s="43" t="s">
        <v>639</v>
      </c>
      <c r="B2" s="46" t="s">
        <v>76</v>
      </c>
      <c r="C2" s="44" t="s">
        <v>78</v>
      </c>
      <c r="D2" s="34">
        <v>4669</v>
      </c>
      <c r="E2" s="46" t="s">
        <v>651</v>
      </c>
      <c r="F2" s="35">
        <f>8950*3</f>
        <v>26850</v>
      </c>
      <c r="G2" s="40">
        <f>8950*3</f>
        <v>26850</v>
      </c>
      <c r="H2" s="35">
        <v>0</v>
      </c>
      <c r="I2" s="35">
        <f t="shared" ref="I2:I65" si="0">G2+H2</f>
        <v>26850</v>
      </c>
      <c r="J2" s="36">
        <f t="shared" ref="J2:J65" si="1">IF(G2=0,100%,(I2-G2)/G2)</f>
        <v>0</v>
      </c>
      <c r="K2" s="48" t="s">
        <v>37</v>
      </c>
      <c r="L2" s="48" t="s">
        <v>42</v>
      </c>
      <c r="M2" s="38">
        <v>41455</v>
      </c>
      <c r="N2" s="48" t="s">
        <v>64</v>
      </c>
      <c r="O2" s="35">
        <v>8950</v>
      </c>
      <c r="P2" s="35">
        <v>8950</v>
      </c>
      <c r="Q2" s="35">
        <v>8950</v>
      </c>
    </row>
    <row r="3" spans="1:17" s="15" customFormat="1" ht="26.25" customHeight="1" x14ac:dyDescent="0.2">
      <c r="A3" s="43" t="s">
        <v>715</v>
      </c>
      <c r="B3" s="46" t="s">
        <v>49</v>
      </c>
      <c r="C3" s="44" t="s">
        <v>728</v>
      </c>
      <c r="D3" s="34">
        <v>4784</v>
      </c>
      <c r="E3" s="46" t="s">
        <v>724</v>
      </c>
      <c r="F3" s="35">
        <v>95000</v>
      </c>
      <c r="G3" s="40">
        <v>95000</v>
      </c>
      <c r="H3" s="35">
        <v>0</v>
      </c>
      <c r="I3" s="35">
        <f t="shared" si="0"/>
        <v>95000</v>
      </c>
      <c r="J3" s="36">
        <f t="shared" si="1"/>
        <v>0</v>
      </c>
      <c r="K3" s="48" t="s">
        <v>37</v>
      </c>
      <c r="L3" s="48" t="s">
        <v>42</v>
      </c>
      <c r="M3" s="38">
        <v>41820</v>
      </c>
      <c r="N3" s="37"/>
      <c r="O3" s="35">
        <v>95000</v>
      </c>
      <c r="P3" s="35"/>
      <c r="Q3" s="35"/>
    </row>
    <row r="4" spans="1:17" s="15" customFormat="1" ht="26.25" customHeight="1" x14ac:dyDescent="0.2">
      <c r="A4" s="43" t="s">
        <v>656</v>
      </c>
      <c r="B4" s="46" t="s">
        <v>49</v>
      </c>
      <c r="C4" s="44" t="s">
        <v>669</v>
      </c>
      <c r="D4" s="34">
        <v>4258</v>
      </c>
      <c r="E4" s="46" t="s">
        <v>674</v>
      </c>
      <c r="F4" s="35">
        <v>90000</v>
      </c>
      <c r="G4" s="40">
        <v>88973</v>
      </c>
      <c r="H4" s="35">
        <f>90000</f>
        <v>90000</v>
      </c>
      <c r="I4" s="35">
        <f t="shared" si="0"/>
        <v>178973</v>
      </c>
      <c r="J4" s="36">
        <f t="shared" si="1"/>
        <v>1.0115428275993841</v>
      </c>
      <c r="K4" s="48" t="s">
        <v>37</v>
      </c>
      <c r="L4" s="48" t="s">
        <v>37</v>
      </c>
      <c r="M4" s="38">
        <v>41455</v>
      </c>
      <c r="N4" s="48" t="s">
        <v>36</v>
      </c>
      <c r="O4" s="35">
        <v>90000</v>
      </c>
      <c r="P4" s="35"/>
      <c r="Q4" s="35"/>
    </row>
    <row r="5" spans="1:17" s="15" customFormat="1" ht="38.25" customHeight="1" x14ac:dyDescent="0.2">
      <c r="A5" s="43" t="s">
        <v>1086</v>
      </c>
      <c r="B5" s="46" t="s">
        <v>66</v>
      </c>
      <c r="C5" s="44" t="s">
        <v>1093</v>
      </c>
      <c r="D5" s="34">
        <v>5356</v>
      </c>
      <c r="E5" s="46" t="s">
        <v>1100</v>
      </c>
      <c r="F5" s="35">
        <f>5529*3</f>
        <v>16587</v>
      </c>
      <c r="G5" s="40">
        <f>5529*3</f>
        <v>16587</v>
      </c>
      <c r="H5" s="35">
        <v>0</v>
      </c>
      <c r="I5" s="35">
        <f t="shared" si="0"/>
        <v>16587</v>
      </c>
      <c r="J5" s="36">
        <f t="shared" si="1"/>
        <v>0</v>
      </c>
      <c r="K5" s="48" t="s">
        <v>37</v>
      </c>
      <c r="L5" s="48" t="s">
        <v>37</v>
      </c>
      <c r="M5" s="38">
        <v>41670</v>
      </c>
      <c r="N5" s="48" t="s">
        <v>64</v>
      </c>
      <c r="O5" s="35">
        <v>5529</v>
      </c>
      <c r="P5" s="35">
        <v>5529</v>
      </c>
      <c r="Q5" s="35">
        <v>5529</v>
      </c>
    </row>
    <row r="6" spans="1:17" s="15" customFormat="1" ht="38.25" customHeight="1" x14ac:dyDescent="0.2">
      <c r="A6" s="43" t="s">
        <v>1391</v>
      </c>
      <c r="B6" s="46" t="s">
        <v>66</v>
      </c>
      <c r="C6" s="44" t="s">
        <v>1093</v>
      </c>
      <c r="D6" s="47">
        <v>6252</v>
      </c>
      <c r="E6" s="46" t="s">
        <v>1407</v>
      </c>
      <c r="F6" s="35">
        <v>15699</v>
      </c>
      <c r="G6" s="40">
        <v>15699</v>
      </c>
      <c r="H6" s="35">
        <v>0</v>
      </c>
      <c r="I6" s="35">
        <f t="shared" si="0"/>
        <v>15699</v>
      </c>
      <c r="J6" s="36">
        <f t="shared" si="1"/>
        <v>0</v>
      </c>
      <c r="K6" s="48" t="s">
        <v>37</v>
      </c>
      <c r="L6" s="48" t="s">
        <v>42</v>
      </c>
      <c r="M6" s="38">
        <v>43272</v>
      </c>
      <c r="N6" s="48"/>
      <c r="O6" s="35">
        <v>15699</v>
      </c>
      <c r="P6" s="35"/>
      <c r="Q6" s="35"/>
    </row>
    <row r="7" spans="1:17" s="15" customFormat="1" ht="26.25" customHeight="1" x14ac:dyDescent="0.2">
      <c r="A7" s="43" t="s">
        <v>168</v>
      </c>
      <c r="B7" s="46" t="s">
        <v>19</v>
      </c>
      <c r="C7" s="44" t="s">
        <v>28</v>
      </c>
      <c r="D7" s="34">
        <v>4152</v>
      </c>
      <c r="E7" s="46" t="s">
        <v>196</v>
      </c>
      <c r="F7" s="35">
        <f>15000*3</f>
        <v>45000</v>
      </c>
      <c r="G7" s="40">
        <f>15000*3</f>
        <v>45000</v>
      </c>
      <c r="H7" s="35">
        <v>0</v>
      </c>
      <c r="I7" s="35">
        <f t="shared" si="0"/>
        <v>45000</v>
      </c>
      <c r="J7" s="36">
        <f t="shared" si="1"/>
        <v>0</v>
      </c>
      <c r="K7" s="48" t="s">
        <v>37</v>
      </c>
      <c r="L7" s="48" t="s">
        <v>37</v>
      </c>
      <c r="M7" s="38">
        <v>41455</v>
      </c>
      <c r="N7" s="48" t="s">
        <v>64</v>
      </c>
      <c r="O7" s="41">
        <v>15000</v>
      </c>
      <c r="P7" s="41">
        <v>15000</v>
      </c>
      <c r="Q7" s="41">
        <v>15000</v>
      </c>
    </row>
    <row r="8" spans="1:17" s="15" customFormat="1" ht="26.25" customHeight="1" x14ac:dyDescent="0.2">
      <c r="A8" s="43" t="s">
        <v>1048</v>
      </c>
      <c r="B8" s="46" t="s">
        <v>20</v>
      </c>
      <c r="C8" s="44" t="s">
        <v>1053</v>
      </c>
      <c r="D8" s="34">
        <v>5185</v>
      </c>
      <c r="E8" s="59" t="s">
        <v>200</v>
      </c>
      <c r="F8" s="35">
        <f>20000*3</f>
        <v>60000</v>
      </c>
      <c r="G8" s="40">
        <f>20000</f>
        <v>20000</v>
      </c>
      <c r="H8" s="35">
        <f>20000*3</f>
        <v>60000</v>
      </c>
      <c r="I8" s="35">
        <f t="shared" si="0"/>
        <v>80000</v>
      </c>
      <c r="J8" s="36">
        <f t="shared" si="1"/>
        <v>3</v>
      </c>
      <c r="K8" s="48" t="s">
        <v>37</v>
      </c>
      <c r="L8" s="48" t="s">
        <v>37</v>
      </c>
      <c r="M8" s="38">
        <v>41455</v>
      </c>
      <c r="N8" s="48" t="s">
        <v>64</v>
      </c>
      <c r="O8" s="35">
        <v>20000</v>
      </c>
      <c r="P8" s="35">
        <v>20000</v>
      </c>
      <c r="Q8" s="35">
        <v>20000</v>
      </c>
    </row>
    <row r="9" spans="1:17" s="15" customFormat="1" ht="26.25" customHeight="1" x14ac:dyDescent="0.2">
      <c r="A9" s="43" t="s">
        <v>1035</v>
      </c>
      <c r="B9" s="46" t="s">
        <v>46</v>
      </c>
      <c r="C9" s="44" t="s">
        <v>1039</v>
      </c>
      <c r="D9" s="34">
        <v>5238</v>
      </c>
      <c r="E9" s="46" t="s">
        <v>1042</v>
      </c>
      <c r="F9" s="35">
        <f>65000*3</f>
        <v>195000</v>
      </c>
      <c r="G9" s="40">
        <f>65000*3</f>
        <v>195000</v>
      </c>
      <c r="H9" s="35">
        <v>0</v>
      </c>
      <c r="I9" s="35">
        <f t="shared" si="0"/>
        <v>195000</v>
      </c>
      <c r="J9" s="36">
        <f t="shared" si="1"/>
        <v>0</v>
      </c>
      <c r="K9" s="48" t="s">
        <v>37</v>
      </c>
      <c r="L9" s="48" t="s">
        <v>37</v>
      </c>
      <c r="M9" s="52">
        <v>41639</v>
      </c>
      <c r="N9" s="48" t="s">
        <v>64</v>
      </c>
      <c r="O9" s="35">
        <v>65000</v>
      </c>
      <c r="P9" s="35">
        <v>65000</v>
      </c>
      <c r="Q9" s="35">
        <v>65000</v>
      </c>
    </row>
    <row r="10" spans="1:17" s="15" customFormat="1" ht="18" customHeight="1" x14ac:dyDescent="0.2">
      <c r="A10" s="43" t="s">
        <v>1360</v>
      </c>
      <c r="B10" s="46" t="s">
        <v>39</v>
      </c>
      <c r="C10" s="44" t="s">
        <v>1039</v>
      </c>
      <c r="D10" s="34">
        <v>6194</v>
      </c>
      <c r="E10" s="46" t="s">
        <v>1363</v>
      </c>
      <c r="F10" s="35">
        <f>22969*3</f>
        <v>68907</v>
      </c>
      <c r="G10" s="40">
        <f>22969*3</f>
        <v>68907</v>
      </c>
      <c r="H10" s="35">
        <v>0</v>
      </c>
      <c r="I10" s="35">
        <f t="shared" si="0"/>
        <v>68907</v>
      </c>
      <c r="J10" s="36">
        <f t="shared" si="1"/>
        <v>0</v>
      </c>
      <c r="K10" s="48" t="s">
        <v>37</v>
      </c>
      <c r="L10" s="48" t="s">
        <v>37</v>
      </c>
      <c r="M10" s="38">
        <v>41790</v>
      </c>
      <c r="N10" s="48" t="s">
        <v>64</v>
      </c>
      <c r="O10" s="49">
        <v>22969</v>
      </c>
      <c r="P10" s="35">
        <v>22969</v>
      </c>
      <c r="Q10" s="35">
        <v>22969</v>
      </c>
    </row>
    <row r="11" spans="1:17" s="15" customFormat="1" ht="26.25" customHeight="1" x14ac:dyDescent="0.2">
      <c r="A11" s="43" t="s">
        <v>223</v>
      </c>
      <c r="B11" s="46" t="s">
        <v>46</v>
      </c>
      <c r="C11" s="44" t="s">
        <v>232</v>
      </c>
      <c r="D11" s="34">
        <v>4207</v>
      </c>
      <c r="E11" s="46" t="s">
        <v>241</v>
      </c>
      <c r="F11" s="35">
        <v>7413</v>
      </c>
      <c r="G11" s="40">
        <v>7413</v>
      </c>
      <c r="H11" s="35">
        <v>0</v>
      </c>
      <c r="I11" s="35">
        <f t="shared" si="0"/>
        <v>7413</v>
      </c>
      <c r="J11" s="36">
        <f t="shared" si="1"/>
        <v>0</v>
      </c>
      <c r="K11" s="48" t="s">
        <v>37</v>
      </c>
      <c r="L11" s="48" t="s">
        <v>42</v>
      </c>
      <c r="M11" s="38">
        <v>41182</v>
      </c>
      <c r="N11" s="37"/>
      <c r="O11" s="41">
        <v>7413</v>
      </c>
      <c r="P11" s="41"/>
      <c r="Q11" s="41"/>
    </row>
    <row r="12" spans="1:17" s="15" customFormat="1" ht="26.25" customHeight="1" x14ac:dyDescent="0.2">
      <c r="A12" s="43" t="s">
        <v>534</v>
      </c>
      <c r="B12" s="46" t="s">
        <v>39</v>
      </c>
      <c r="C12" s="44" t="s">
        <v>552</v>
      </c>
      <c r="D12" s="47">
        <v>4474</v>
      </c>
      <c r="E12" s="46" t="s">
        <v>565</v>
      </c>
      <c r="F12" s="35">
        <f>12000*3</f>
        <v>36000</v>
      </c>
      <c r="G12" s="40">
        <f>12000*3</f>
        <v>36000</v>
      </c>
      <c r="H12" s="35">
        <v>0</v>
      </c>
      <c r="I12" s="35">
        <f t="shared" si="0"/>
        <v>36000</v>
      </c>
      <c r="J12" s="36">
        <f t="shared" si="1"/>
        <v>0</v>
      </c>
      <c r="K12" s="48" t="s">
        <v>37</v>
      </c>
      <c r="L12" s="48" t="s">
        <v>37</v>
      </c>
      <c r="M12" s="38">
        <v>41455</v>
      </c>
      <c r="N12" s="48" t="s">
        <v>64</v>
      </c>
      <c r="O12" s="41">
        <v>12000</v>
      </c>
      <c r="P12" s="41">
        <v>12000</v>
      </c>
      <c r="Q12" s="41">
        <v>12000</v>
      </c>
    </row>
    <row r="13" spans="1:17" s="15" customFormat="1" ht="26.25" customHeight="1" x14ac:dyDescent="0.2">
      <c r="A13" s="43" t="s">
        <v>1320</v>
      </c>
      <c r="B13" s="46" t="s">
        <v>67</v>
      </c>
      <c r="C13" s="44" t="s">
        <v>1328</v>
      </c>
      <c r="D13" s="47" t="s">
        <v>1331</v>
      </c>
      <c r="E13" s="46" t="s">
        <v>1332</v>
      </c>
      <c r="F13" s="35">
        <v>4000</v>
      </c>
      <c r="G13" s="40">
        <v>4000</v>
      </c>
      <c r="H13" s="35">
        <v>4000</v>
      </c>
      <c r="I13" s="35">
        <f t="shared" si="0"/>
        <v>8000</v>
      </c>
      <c r="J13" s="36">
        <f t="shared" si="1"/>
        <v>1</v>
      </c>
      <c r="K13" s="48" t="s">
        <v>37</v>
      </c>
      <c r="L13" s="48" t="s">
        <v>37</v>
      </c>
      <c r="M13" s="38">
        <v>41455</v>
      </c>
      <c r="N13" s="48" t="s">
        <v>36</v>
      </c>
      <c r="O13" s="35">
        <v>4000</v>
      </c>
      <c r="P13" s="35"/>
      <c r="Q13" s="35"/>
    </row>
    <row r="14" spans="1:17" s="15" customFormat="1" ht="38.25" customHeight="1" x14ac:dyDescent="0.2">
      <c r="A14" s="43" t="s">
        <v>405</v>
      </c>
      <c r="B14" s="46" t="s">
        <v>26</v>
      </c>
      <c r="C14" s="44" t="s">
        <v>25</v>
      </c>
      <c r="D14" s="47" t="s">
        <v>358</v>
      </c>
      <c r="E14" s="46" t="s">
        <v>436</v>
      </c>
      <c r="F14" s="35">
        <v>15000</v>
      </c>
      <c r="G14" s="40">
        <v>15000</v>
      </c>
      <c r="H14" s="35">
        <v>0</v>
      </c>
      <c r="I14" s="35">
        <f t="shared" si="0"/>
        <v>15000</v>
      </c>
      <c r="J14" s="36">
        <f t="shared" si="1"/>
        <v>0</v>
      </c>
      <c r="K14" s="48" t="s">
        <v>37</v>
      </c>
      <c r="L14" s="48" t="s">
        <v>37</v>
      </c>
      <c r="M14" s="38">
        <v>41455</v>
      </c>
      <c r="N14" s="48"/>
      <c r="O14" s="41">
        <v>15000</v>
      </c>
      <c r="P14" s="41"/>
      <c r="Q14" s="41"/>
    </row>
    <row r="15" spans="1:17" s="15" customFormat="1" ht="38.25" customHeight="1" x14ac:dyDescent="0.2">
      <c r="A15" s="43" t="s">
        <v>1060</v>
      </c>
      <c r="B15" s="46" t="s">
        <v>1067</v>
      </c>
      <c r="C15" s="44" t="s">
        <v>25</v>
      </c>
      <c r="D15" s="47" t="s">
        <v>41</v>
      </c>
      <c r="E15" s="46" t="s">
        <v>1073</v>
      </c>
      <c r="F15" s="35">
        <v>30000</v>
      </c>
      <c r="G15" s="40">
        <v>15000</v>
      </c>
      <c r="H15" s="35">
        <v>30000</v>
      </c>
      <c r="I15" s="35">
        <f t="shared" si="0"/>
        <v>45000</v>
      </c>
      <c r="J15" s="36">
        <f t="shared" si="1"/>
        <v>2</v>
      </c>
      <c r="K15" s="48" t="s">
        <v>37</v>
      </c>
      <c r="L15" s="48" t="s">
        <v>37</v>
      </c>
      <c r="M15" s="38">
        <v>41455</v>
      </c>
      <c r="N15" s="48" t="s">
        <v>36</v>
      </c>
      <c r="O15" s="35">
        <v>30000</v>
      </c>
      <c r="P15" s="35"/>
      <c r="Q15" s="35"/>
    </row>
    <row r="16" spans="1:17" s="15" customFormat="1" ht="26.25" customHeight="1" x14ac:dyDescent="0.2">
      <c r="A16" s="43" t="s">
        <v>1339</v>
      </c>
      <c r="B16" s="46" t="s">
        <v>26</v>
      </c>
      <c r="C16" s="44" t="s">
        <v>25</v>
      </c>
      <c r="D16" s="47" t="s">
        <v>41</v>
      </c>
      <c r="E16" s="46" t="s">
        <v>1343</v>
      </c>
      <c r="F16" s="35">
        <v>25000</v>
      </c>
      <c r="G16" s="40">
        <v>15000</v>
      </c>
      <c r="H16" s="35">
        <f>30000+25000</f>
        <v>55000</v>
      </c>
      <c r="I16" s="35">
        <f t="shared" si="0"/>
        <v>70000</v>
      </c>
      <c r="J16" s="36">
        <f t="shared" si="1"/>
        <v>3.6666666666666665</v>
      </c>
      <c r="K16" s="48" t="s">
        <v>37</v>
      </c>
      <c r="L16" s="48" t="s">
        <v>37</v>
      </c>
      <c r="M16" s="38">
        <v>41455</v>
      </c>
      <c r="N16" s="48" t="s">
        <v>36</v>
      </c>
      <c r="O16" s="35">
        <v>25000</v>
      </c>
      <c r="P16" s="35"/>
      <c r="Q16" s="35"/>
    </row>
    <row r="17" spans="1:17" s="15" customFormat="1" ht="26.25" customHeight="1" x14ac:dyDescent="0.2">
      <c r="A17" s="43" t="s">
        <v>741</v>
      </c>
      <c r="B17" s="46" t="s">
        <v>39</v>
      </c>
      <c r="C17" s="44" t="s">
        <v>759</v>
      </c>
      <c r="D17" s="34">
        <v>4779</v>
      </c>
      <c r="E17" s="46" t="s">
        <v>752</v>
      </c>
      <c r="F17" s="35">
        <v>14420</v>
      </c>
      <c r="G17" s="40">
        <v>14420</v>
      </c>
      <c r="H17" s="35">
        <v>0</v>
      </c>
      <c r="I17" s="35">
        <f t="shared" si="0"/>
        <v>14420</v>
      </c>
      <c r="J17" s="36">
        <f t="shared" si="1"/>
        <v>0</v>
      </c>
      <c r="K17" s="48" t="s">
        <v>37</v>
      </c>
      <c r="L17" s="48" t="s">
        <v>42</v>
      </c>
      <c r="M17" s="38">
        <v>41455</v>
      </c>
      <c r="N17" s="37"/>
      <c r="O17" s="35">
        <v>14420</v>
      </c>
      <c r="P17" s="35"/>
      <c r="Q17" s="35"/>
    </row>
    <row r="18" spans="1:17" s="15" customFormat="1" ht="26.25" customHeight="1" x14ac:dyDescent="0.2">
      <c r="A18" s="43" t="s">
        <v>1291</v>
      </c>
      <c r="B18" s="46" t="s">
        <v>20</v>
      </c>
      <c r="C18" s="44" t="s">
        <v>1303</v>
      </c>
      <c r="D18" s="47" t="s">
        <v>1306</v>
      </c>
      <c r="E18" s="46" t="s">
        <v>1310</v>
      </c>
      <c r="F18" s="35">
        <f>6000*3</f>
        <v>18000</v>
      </c>
      <c r="G18" s="40">
        <v>25000</v>
      </c>
      <c r="H18" s="35">
        <f>6000*3</f>
        <v>18000</v>
      </c>
      <c r="I18" s="35">
        <f t="shared" si="0"/>
        <v>43000</v>
      </c>
      <c r="J18" s="36">
        <f t="shared" si="1"/>
        <v>0.72</v>
      </c>
      <c r="K18" s="48" t="s">
        <v>37</v>
      </c>
      <c r="L18" s="48" t="s">
        <v>37</v>
      </c>
      <c r="M18" s="38">
        <v>41455</v>
      </c>
      <c r="N18" s="48" t="s">
        <v>64</v>
      </c>
      <c r="O18" s="35">
        <v>6000</v>
      </c>
      <c r="P18" s="35">
        <v>6000</v>
      </c>
      <c r="Q18" s="35">
        <v>6000</v>
      </c>
    </row>
    <row r="19" spans="1:17" s="15" customFormat="1" ht="26.25" customHeight="1" x14ac:dyDescent="0.2">
      <c r="A19" s="43" t="s">
        <v>1373</v>
      </c>
      <c r="B19" s="46" t="s">
        <v>20</v>
      </c>
      <c r="C19" s="44" t="s">
        <v>1303</v>
      </c>
      <c r="D19" s="47" t="s">
        <v>1380</v>
      </c>
      <c r="E19" s="46" t="s">
        <v>1382</v>
      </c>
      <c r="F19" s="35">
        <f>8000*3</f>
        <v>24000</v>
      </c>
      <c r="G19" s="40">
        <v>25000</v>
      </c>
      <c r="H19" s="35">
        <f>6000+8000*3</f>
        <v>30000</v>
      </c>
      <c r="I19" s="35">
        <f t="shared" si="0"/>
        <v>55000</v>
      </c>
      <c r="J19" s="36">
        <f t="shared" si="1"/>
        <v>1.2</v>
      </c>
      <c r="K19" s="48" t="s">
        <v>37</v>
      </c>
      <c r="L19" s="48" t="s">
        <v>37</v>
      </c>
      <c r="M19" s="52">
        <v>41455</v>
      </c>
      <c r="N19" s="48" t="s">
        <v>64</v>
      </c>
      <c r="O19" s="49">
        <v>8000</v>
      </c>
      <c r="P19" s="35">
        <v>8000</v>
      </c>
      <c r="Q19" s="35">
        <v>8000</v>
      </c>
    </row>
    <row r="20" spans="1:17" s="15" customFormat="1" ht="26.25" customHeight="1" x14ac:dyDescent="0.2">
      <c r="A20" s="43" t="s">
        <v>317</v>
      </c>
      <c r="B20" s="46" t="s">
        <v>26</v>
      </c>
      <c r="C20" s="44" t="s">
        <v>343</v>
      </c>
      <c r="D20" s="47" t="s">
        <v>357</v>
      </c>
      <c r="E20" s="46" t="s">
        <v>276</v>
      </c>
      <c r="F20" s="35">
        <v>20000</v>
      </c>
      <c r="G20" s="40">
        <v>20000</v>
      </c>
      <c r="H20" s="35">
        <v>0</v>
      </c>
      <c r="I20" s="35">
        <f t="shared" si="0"/>
        <v>20000</v>
      </c>
      <c r="J20" s="36">
        <f t="shared" si="1"/>
        <v>0</v>
      </c>
      <c r="K20" s="48" t="s">
        <v>37</v>
      </c>
      <c r="L20" s="48" t="s">
        <v>37</v>
      </c>
      <c r="M20" s="38">
        <v>41455</v>
      </c>
      <c r="N20" s="37"/>
      <c r="O20" s="41">
        <v>20000</v>
      </c>
      <c r="P20" s="41"/>
      <c r="Q20" s="41"/>
    </row>
    <row r="21" spans="1:17" s="15" customFormat="1" ht="26.25" customHeight="1" x14ac:dyDescent="0.2">
      <c r="A21" s="43" t="s">
        <v>172</v>
      </c>
      <c r="B21" s="46" t="s">
        <v>20</v>
      </c>
      <c r="C21" s="44" t="s">
        <v>216</v>
      </c>
      <c r="D21" s="34">
        <v>4164</v>
      </c>
      <c r="E21" s="46" t="s">
        <v>200</v>
      </c>
      <c r="F21" s="35">
        <f>20000*3</f>
        <v>60000</v>
      </c>
      <c r="G21" s="40">
        <f>20000*3</f>
        <v>60000</v>
      </c>
      <c r="H21" s="35">
        <v>0</v>
      </c>
      <c r="I21" s="35">
        <f t="shared" si="0"/>
        <v>60000</v>
      </c>
      <c r="J21" s="36">
        <f t="shared" si="1"/>
        <v>0</v>
      </c>
      <c r="K21" s="48" t="s">
        <v>37</v>
      </c>
      <c r="L21" s="48" t="s">
        <v>37</v>
      </c>
      <c r="M21" s="38">
        <v>41455</v>
      </c>
      <c r="N21" s="48" t="s">
        <v>64</v>
      </c>
      <c r="O21" s="41">
        <v>20000</v>
      </c>
      <c r="P21" s="41">
        <v>20000</v>
      </c>
      <c r="Q21" s="41">
        <v>20000</v>
      </c>
    </row>
    <row r="22" spans="1:17" s="15" customFormat="1" ht="26.25" customHeight="1" x14ac:dyDescent="0.2">
      <c r="A22" s="43" t="s">
        <v>341</v>
      </c>
      <c r="B22" s="46" t="s">
        <v>26</v>
      </c>
      <c r="C22" s="44" t="s">
        <v>355</v>
      </c>
      <c r="D22" s="47" t="s">
        <v>373</v>
      </c>
      <c r="E22" s="46" t="s">
        <v>35</v>
      </c>
      <c r="F22" s="35">
        <v>20000</v>
      </c>
      <c r="G22" s="40">
        <v>20000</v>
      </c>
      <c r="H22" s="35">
        <v>0</v>
      </c>
      <c r="I22" s="35">
        <f t="shared" si="0"/>
        <v>20000</v>
      </c>
      <c r="J22" s="36">
        <f t="shared" si="1"/>
        <v>0</v>
      </c>
      <c r="K22" s="48" t="s">
        <v>37</v>
      </c>
      <c r="L22" s="48" t="s">
        <v>37</v>
      </c>
      <c r="M22" s="38">
        <v>41455</v>
      </c>
      <c r="N22" s="37"/>
      <c r="O22" s="41">
        <v>20000</v>
      </c>
      <c r="P22" s="41"/>
      <c r="Q22" s="41"/>
    </row>
    <row r="23" spans="1:17" s="15" customFormat="1" ht="38.25" customHeight="1" x14ac:dyDescent="0.2">
      <c r="A23" s="43" t="s">
        <v>248</v>
      </c>
      <c r="B23" s="46" t="s">
        <v>17</v>
      </c>
      <c r="C23" s="44" t="s">
        <v>85</v>
      </c>
      <c r="D23" s="34">
        <v>4040</v>
      </c>
      <c r="E23" s="46" t="s">
        <v>267</v>
      </c>
      <c r="F23" s="35">
        <f>98000*3</f>
        <v>294000</v>
      </c>
      <c r="G23" s="40">
        <f>98000*3</f>
        <v>294000</v>
      </c>
      <c r="H23" s="35">
        <v>0</v>
      </c>
      <c r="I23" s="35">
        <f t="shared" si="0"/>
        <v>294000</v>
      </c>
      <c r="J23" s="36">
        <f t="shared" si="1"/>
        <v>0</v>
      </c>
      <c r="K23" s="48" t="s">
        <v>37</v>
      </c>
      <c r="L23" s="48" t="s">
        <v>37</v>
      </c>
      <c r="M23" s="38">
        <v>41455</v>
      </c>
      <c r="N23" s="48" t="s">
        <v>64</v>
      </c>
      <c r="O23" s="41">
        <v>98000</v>
      </c>
      <c r="P23" s="41">
        <v>98000</v>
      </c>
      <c r="Q23" s="41">
        <v>98000</v>
      </c>
    </row>
    <row r="24" spans="1:17" s="15" customFormat="1" ht="26.25" customHeight="1" x14ac:dyDescent="0.2">
      <c r="A24" s="43" t="s">
        <v>984</v>
      </c>
      <c r="B24" s="46" t="s">
        <v>17</v>
      </c>
      <c r="C24" s="44" t="s">
        <v>85</v>
      </c>
      <c r="D24" s="34">
        <v>4942</v>
      </c>
      <c r="E24" s="46" t="s">
        <v>990</v>
      </c>
      <c r="F24" s="35">
        <v>49000</v>
      </c>
      <c r="G24" s="40">
        <v>49000</v>
      </c>
      <c r="H24" s="35">
        <v>0</v>
      </c>
      <c r="I24" s="35">
        <f t="shared" si="0"/>
        <v>49000</v>
      </c>
      <c r="J24" s="36">
        <f t="shared" si="1"/>
        <v>0</v>
      </c>
      <c r="K24" s="48" t="s">
        <v>37</v>
      </c>
      <c r="L24" s="48" t="s">
        <v>37</v>
      </c>
      <c r="M24" s="38">
        <v>41455</v>
      </c>
      <c r="N24" s="37"/>
      <c r="O24" s="35">
        <v>49000</v>
      </c>
      <c r="P24" s="35"/>
      <c r="Q24" s="35"/>
    </row>
    <row r="25" spans="1:17" s="15" customFormat="1" ht="38.25" customHeight="1" x14ac:dyDescent="0.2">
      <c r="A25" s="43" t="s">
        <v>1419</v>
      </c>
      <c r="B25" s="46" t="s">
        <v>50</v>
      </c>
      <c r="C25" s="44" t="s">
        <v>1422</v>
      </c>
      <c r="D25" s="47" t="s">
        <v>41</v>
      </c>
      <c r="E25" s="46" t="s">
        <v>1425</v>
      </c>
      <c r="F25" s="35">
        <v>45400</v>
      </c>
      <c r="G25" s="40">
        <v>45000</v>
      </c>
      <c r="H25" s="35">
        <v>0</v>
      </c>
      <c r="I25" s="35">
        <f t="shared" si="0"/>
        <v>45000</v>
      </c>
      <c r="J25" s="36">
        <f t="shared" si="1"/>
        <v>0</v>
      </c>
      <c r="K25" s="48" t="s">
        <v>37</v>
      </c>
      <c r="L25" s="48" t="s">
        <v>37</v>
      </c>
      <c r="M25" s="38">
        <v>41458</v>
      </c>
      <c r="N25" s="48"/>
      <c r="O25" s="35">
        <v>45400</v>
      </c>
      <c r="P25" s="35"/>
      <c r="Q25" s="35"/>
    </row>
    <row r="26" spans="1:17" s="15" customFormat="1" ht="26.25" customHeight="1" x14ac:dyDescent="0.2">
      <c r="A26" s="43" t="s">
        <v>810</v>
      </c>
      <c r="B26" s="46" t="s">
        <v>825</v>
      </c>
      <c r="C26" s="44" t="s">
        <v>834</v>
      </c>
      <c r="D26" s="34">
        <v>4101</v>
      </c>
      <c r="E26" s="46" t="s">
        <v>856</v>
      </c>
      <c r="F26" s="35">
        <f>25000*3</f>
        <v>75000</v>
      </c>
      <c r="G26" s="40">
        <f>25000*3</f>
        <v>75000</v>
      </c>
      <c r="H26" s="35">
        <v>0</v>
      </c>
      <c r="I26" s="35">
        <f t="shared" si="0"/>
        <v>75000</v>
      </c>
      <c r="J26" s="36">
        <f t="shared" si="1"/>
        <v>0</v>
      </c>
      <c r="K26" s="48" t="s">
        <v>37</v>
      </c>
      <c r="L26" s="48" t="s">
        <v>37</v>
      </c>
      <c r="M26" s="38">
        <v>41455</v>
      </c>
      <c r="N26" s="48" t="s">
        <v>64</v>
      </c>
      <c r="O26" s="35">
        <v>25000</v>
      </c>
      <c r="P26" s="35">
        <v>25000</v>
      </c>
      <c r="Q26" s="35">
        <v>25000</v>
      </c>
    </row>
    <row r="27" spans="1:17" s="15" customFormat="1" ht="18" customHeight="1" x14ac:dyDescent="0.2">
      <c r="A27" s="43" t="s">
        <v>521</v>
      </c>
      <c r="B27" s="46" t="s">
        <v>17</v>
      </c>
      <c r="C27" s="44" t="s">
        <v>526</v>
      </c>
      <c r="D27" s="47">
        <v>4331</v>
      </c>
      <c r="E27" s="46" t="s">
        <v>528</v>
      </c>
      <c r="F27" s="35">
        <f>60000*3</f>
        <v>180000</v>
      </c>
      <c r="G27" s="40">
        <f>60000*3</f>
        <v>180000</v>
      </c>
      <c r="H27" s="35">
        <v>0</v>
      </c>
      <c r="I27" s="35">
        <f t="shared" si="0"/>
        <v>180000</v>
      </c>
      <c r="J27" s="36">
        <f t="shared" si="1"/>
        <v>0</v>
      </c>
      <c r="K27" s="48" t="s">
        <v>37</v>
      </c>
      <c r="L27" s="48" t="s">
        <v>37</v>
      </c>
      <c r="M27" s="38">
        <v>41455</v>
      </c>
      <c r="N27" s="48" t="s">
        <v>64</v>
      </c>
      <c r="O27" s="41">
        <v>60000</v>
      </c>
      <c r="P27" s="41">
        <v>60000</v>
      </c>
      <c r="Q27" s="41">
        <v>60000</v>
      </c>
    </row>
    <row r="28" spans="1:17" s="15" customFormat="1" ht="26.25" customHeight="1" x14ac:dyDescent="0.2">
      <c r="A28" s="43" t="s">
        <v>150</v>
      </c>
      <c r="B28" s="46" t="s">
        <v>40</v>
      </c>
      <c r="C28" s="44" t="s">
        <v>207</v>
      </c>
      <c r="D28" s="47">
        <v>3893</v>
      </c>
      <c r="E28" s="46" t="s">
        <v>178</v>
      </c>
      <c r="F28" s="35">
        <f>20000*3</f>
        <v>60000</v>
      </c>
      <c r="G28" s="40">
        <f>20000*3</f>
        <v>60000</v>
      </c>
      <c r="H28" s="35">
        <v>0</v>
      </c>
      <c r="I28" s="35">
        <f t="shared" si="0"/>
        <v>60000</v>
      </c>
      <c r="J28" s="36">
        <f t="shared" si="1"/>
        <v>0</v>
      </c>
      <c r="K28" s="48" t="s">
        <v>37</v>
      </c>
      <c r="L28" s="48" t="s">
        <v>42</v>
      </c>
      <c r="M28" s="38">
        <v>41455</v>
      </c>
      <c r="N28" s="48" t="s">
        <v>64</v>
      </c>
      <c r="O28" s="41">
        <v>20000</v>
      </c>
      <c r="P28" s="41">
        <v>20000</v>
      </c>
      <c r="Q28" s="41">
        <v>20000</v>
      </c>
    </row>
    <row r="29" spans="1:17" s="15" customFormat="1" ht="18" customHeight="1" x14ac:dyDescent="0.2">
      <c r="A29" s="43" t="s">
        <v>546</v>
      </c>
      <c r="B29" s="46" t="s">
        <v>45</v>
      </c>
      <c r="C29" s="44" t="s">
        <v>207</v>
      </c>
      <c r="D29" s="47">
        <v>3912</v>
      </c>
      <c r="E29" s="46" t="s">
        <v>576</v>
      </c>
      <c r="F29" s="35">
        <f>13500*3</f>
        <v>40500</v>
      </c>
      <c r="G29" s="40">
        <f>13500*3</f>
        <v>40500</v>
      </c>
      <c r="H29" s="35">
        <v>0</v>
      </c>
      <c r="I29" s="35">
        <f t="shared" si="0"/>
        <v>40500</v>
      </c>
      <c r="J29" s="36">
        <f t="shared" si="1"/>
        <v>0</v>
      </c>
      <c r="K29" s="48" t="s">
        <v>37</v>
      </c>
      <c r="L29" s="48" t="s">
        <v>37</v>
      </c>
      <c r="M29" s="38">
        <v>41455</v>
      </c>
      <c r="N29" s="48" t="s">
        <v>64</v>
      </c>
      <c r="O29" s="41">
        <v>13500</v>
      </c>
      <c r="P29" s="41">
        <v>13500</v>
      </c>
      <c r="Q29" s="41">
        <v>13500</v>
      </c>
    </row>
    <row r="30" spans="1:17" s="15" customFormat="1" ht="26.25" customHeight="1" x14ac:dyDescent="0.2">
      <c r="A30" s="43" t="s">
        <v>1107</v>
      </c>
      <c r="B30" s="46" t="s">
        <v>40</v>
      </c>
      <c r="C30" s="44" t="s">
        <v>207</v>
      </c>
      <c r="D30" s="47" t="s">
        <v>1115</v>
      </c>
      <c r="E30" s="46" t="s">
        <v>1122</v>
      </c>
      <c r="F30" s="35">
        <f>20000+20000+20000</f>
        <v>60000</v>
      </c>
      <c r="G30" s="40">
        <v>20000</v>
      </c>
      <c r="H30" s="35">
        <v>60000</v>
      </c>
      <c r="I30" s="35">
        <f t="shared" si="0"/>
        <v>80000</v>
      </c>
      <c r="J30" s="36">
        <f t="shared" si="1"/>
        <v>3</v>
      </c>
      <c r="K30" s="48" t="s">
        <v>37</v>
      </c>
      <c r="L30" s="48" t="s">
        <v>37</v>
      </c>
      <c r="M30" s="38">
        <v>41455</v>
      </c>
      <c r="N30" s="48" t="s">
        <v>64</v>
      </c>
      <c r="O30" s="35">
        <v>20000</v>
      </c>
      <c r="P30" s="35">
        <v>20000</v>
      </c>
      <c r="Q30" s="35">
        <v>20000</v>
      </c>
    </row>
    <row r="31" spans="1:17" s="15" customFormat="1" ht="26.25" customHeight="1" x14ac:dyDescent="0.2">
      <c r="A31" s="43" t="s">
        <v>167</v>
      </c>
      <c r="B31" s="46" t="s">
        <v>21</v>
      </c>
      <c r="C31" s="44" t="s">
        <v>90</v>
      </c>
      <c r="D31" s="34">
        <v>4150</v>
      </c>
      <c r="E31" s="46" t="s">
        <v>195</v>
      </c>
      <c r="F31" s="35">
        <f>31294*2</f>
        <v>62588</v>
      </c>
      <c r="G31" s="40">
        <f>31294+31294</f>
        <v>62588</v>
      </c>
      <c r="H31" s="35">
        <v>0</v>
      </c>
      <c r="I31" s="35">
        <f t="shared" si="0"/>
        <v>62588</v>
      </c>
      <c r="J31" s="36">
        <f t="shared" si="1"/>
        <v>0</v>
      </c>
      <c r="K31" s="48" t="s">
        <v>37</v>
      </c>
      <c r="L31" s="48" t="s">
        <v>37</v>
      </c>
      <c r="M31" s="38">
        <v>41274</v>
      </c>
      <c r="N31" s="48" t="s">
        <v>64</v>
      </c>
      <c r="O31" s="41">
        <v>31294</v>
      </c>
      <c r="P31" s="41">
        <v>31294</v>
      </c>
      <c r="Q31" s="41"/>
    </row>
    <row r="32" spans="1:17" s="15" customFormat="1" ht="26.25" customHeight="1" x14ac:dyDescent="0.2">
      <c r="A32" s="43" t="s">
        <v>524</v>
      </c>
      <c r="B32" s="46" t="s">
        <v>17</v>
      </c>
      <c r="C32" s="44" t="s">
        <v>118</v>
      </c>
      <c r="D32" s="47">
        <v>4309</v>
      </c>
      <c r="E32" s="46" t="s">
        <v>531</v>
      </c>
      <c r="F32" s="35">
        <f>52358*3</f>
        <v>157074</v>
      </c>
      <c r="G32" s="40">
        <f>52358*3</f>
        <v>157074</v>
      </c>
      <c r="H32" s="35">
        <v>0</v>
      </c>
      <c r="I32" s="35">
        <f t="shared" si="0"/>
        <v>157074</v>
      </c>
      <c r="J32" s="36">
        <f t="shared" si="1"/>
        <v>0</v>
      </c>
      <c r="K32" s="48" t="s">
        <v>37</v>
      </c>
      <c r="L32" s="48" t="s">
        <v>37</v>
      </c>
      <c r="M32" s="38">
        <v>41455</v>
      </c>
      <c r="N32" s="48" t="s">
        <v>64</v>
      </c>
      <c r="O32" s="41">
        <v>52358</v>
      </c>
      <c r="P32" s="41">
        <v>52358</v>
      </c>
      <c r="Q32" s="41">
        <v>52358</v>
      </c>
    </row>
    <row r="33" spans="1:17" s="15" customFormat="1" ht="26.25" customHeight="1" x14ac:dyDescent="0.2">
      <c r="A33" s="43" t="s">
        <v>450</v>
      </c>
      <c r="B33" s="46" t="s">
        <v>17</v>
      </c>
      <c r="C33" s="44" t="s">
        <v>462</v>
      </c>
      <c r="D33" s="47">
        <v>3933</v>
      </c>
      <c r="E33" s="46" t="s">
        <v>476</v>
      </c>
      <c r="F33" s="35">
        <f>10000*3</f>
        <v>30000</v>
      </c>
      <c r="G33" s="40">
        <f>10000*3</f>
        <v>30000</v>
      </c>
      <c r="H33" s="35">
        <v>0</v>
      </c>
      <c r="I33" s="35">
        <f t="shared" si="0"/>
        <v>30000</v>
      </c>
      <c r="J33" s="36">
        <f t="shared" si="1"/>
        <v>0</v>
      </c>
      <c r="K33" s="48" t="s">
        <v>37</v>
      </c>
      <c r="L33" s="48" t="s">
        <v>37</v>
      </c>
      <c r="M33" s="38">
        <v>41455</v>
      </c>
      <c r="N33" s="48" t="s">
        <v>64</v>
      </c>
      <c r="O33" s="41">
        <v>10000</v>
      </c>
      <c r="P33" s="41">
        <v>10000</v>
      </c>
      <c r="Q33" s="41">
        <v>10000</v>
      </c>
    </row>
    <row r="34" spans="1:17" s="15" customFormat="1" ht="26.25" customHeight="1" x14ac:dyDescent="0.2">
      <c r="A34" s="43" t="s">
        <v>1064</v>
      </c>
      <c r="B34" s="46" t="s">
        <v>39</v>
      </c>
      <c r="C34" s="44" t="s">
        <v>1070</v>
      </c>
      <c r="D34" s="34">
        <v>5363</v>
      </c>
      <c r="E34" s="46" t="s">
        <v>1077</v>
      </c>
      <c r="F34" s="35">
        <v>18123</v>
      </c>
      <c r="G34" s="40">
        <v>18123</v>
      </c>
      <c r="H34" s="35">
        <v>0</v>
      </c>
      <c r="I34" s="35">
        <f t="shared" si="0"/>
        <v>18123</v>
      </c>
      <c r="J34" s="36">
        <f t="shared" si="1"/>
        <v>0</v>
      </c>
      <c r="K34" s="48" t="s">
        <v>37</v>
      </c>
      <c r="L34" s="48" t="s">
        <v>37</v>
      </c>
      <c r="M34" s="38">
        <v>41455</v>
      </c>
      <c r="N34" s="48"/>
      <c r="O34" s="35">
        <v>18123</v>
      </c>
      <c r="P34" s="35"/>
      <c r="Q34" s="35"/>
    </row>
    <row r="35" spans="1:17" s="15" customFormat="1" ht="26.25" customHeight="1" x14ac:dyDescent="0.2">
      <c r="A35" s="43" t="s">
        <v>971</v>
      </c>
      <c r="B35" s="46" t="s">
        <v>40</v>
      </c>
      <c r="C35" s="44" t="s">
        <v>975</v>
      </c>
      <c r="D35" s="34">
        <v>5128</v>
      </c>
      <c r="E35" s="46" t="s">
        <v>977</v>
      </c>
      <c r="F35" s="35">
        <v>10800</v>
      </c>
      <c r="G35" s="40">
        <v>10800</v>
      </c>
      <c r="H35" s="35">
        <v>0</v>
      </c>
      <c r="I35" s="35">
        <f t="shared" si="0"/>
        <v>10800</v>
      </c>
      <c r="J35" s="36">
        <f t="shared" si="1"/>
        <v>0</v>
      </c>
      <c r="K35" s="48" t="s">
        <v>37</v>
      </c>
      <c r="L35" s="48" t="s">
        <v>42</v>
      </c>
      <c r="M35" s="38">
        <v>41305</v>
      </c>
      <c r="N35" s="37"/>
      <c r="O35" s="35">
        <v>10800</v>
      </c>
      <c r="P35" s="35"/>
      <c r="Q35" s="35"/>
    </row>
    <row r="36" spans="1:17" s="15" customFormat="1" ht="26.25" customHeight="1" x14ac:dyDescent="0.2">
      <c r="A36" s="43" t="s">
        <v>1187</v>
      </c>
      <c r="B36" s="46" t="s">
        <v>40</v>
      </c>
      <c r="C36" s="44" t="s">
        <v>975</v>
      </c>
      <c r="D36" s="34">
        <v>5622</v>
      </c>
      <c r="E36" s="46" t="s">
        <v>1202</v>
      </c>
      <c r="F36" s="35">
        <v>18750</v>
      </c>
      <c r="G36" s="40">
        <v>18750</v>
      </c>
      <c r="H36" s="35">
        <v>0</v>
      </c>
      <c r="I36" s="35">
        <f t="shared" si="0"/>
        <v>18750</v>
      </c>
      <c r="J36" s="36">
        <f t="shared" si="1"/>
        <v>0</v>
      </c>
      <c r="K36" s="48" t="s">
        <v>37</v>
      </c>
      <c r="L36" s="48" t="s">
        <v>37</v>
      </c>
      <c r="M36" s="38">
        <v>41455</v>
      </c>
      <c r="N36" s="48"/>
      <c r="O36" s="35">
        <v>18750</v>
      </c>
      <c r="P36" s="35"/>
      <c r="Q36" s="35"/>
    </row>
    <row r="37" spans="1:17" s="15" customFormat="1" ht="26.25" customHeight="1" x14ac:dyDescent="0.2">
      <c r="A37" s="43" t="s">
        <v>224</v>
      </c>
      <c r="B37" s="46" t="s">
        <v>17</v>
      </c>
      <c r="C37" s="44" t="s">
        <v>233</v>
      </c>
      <c r="D37" s="34">
        <v>4233</v>
      </c>
      <c r="E37" s="46" t="s">
        <v>242</v>
      </c>
      <c r="F37" s="35">
        <v>15000</v>
      </c>
      <c r="G37" s="40">
        <v>15000</v>
      </c>
      <c r="H37" s="35">
        <v>0</v>
      </c>
      <c r="I37" s="35">
        <f t="shared" si="0"/>
        <v>15000</v>
      </c>
      <c r="J37" s="36">
        <f t="shared" si="1"/>
        <v>0</v>
      </c>
      <c r="K37" s="48" t="s">
        <v>37</v>
      </c>
      <c r="L37" s="48" t="s">
        <v>37</v>
      </c>
      <c r="M37" s="38">
        <v>41455</v>
      </c>
      <c r="N37" s="37"/>
      <c r="O37" s="41">
        <v>15000</v>
      </c>
      <c r="P37" s="41"/>
      <c r="Q37" s="41"/>
    </row>
    <row r="38" spans="1:17" s="15" customFormat="1" ht="26.25" customHeight="1" x14ac:dyDescent="0.2">
      <c r="A38" s="43" t="s">
        <v>301</v>
      </c>
      <c r="B38" s="46" t="s">
        <v>47</v>
      </c>
      <c r="C38" s="44" t="s">
        <v>308</v>
      </c>
      <c r="D38" s="34">
        <v>3875</v>
      </c>
      <c r="E38" s="46" t="s">
        <v>62</v>
      </c>
      <c r="F38" s="35">
        <f>45000*3</f>
        <v>135000</v>
      </c>
      <c r="G38" s="40">
        <f>45000*3</f>
        <v>135000</v>
      </c>
      <c r="H38" s="35">
        <v>0</v>
      </c>
      <c r="I38" s="35">
        <f t="shared" si="0"/>
        <v>135000</v>
      </c>
      <c r="J38" s="36">
        <f t="shared" si="1"/>
        <v>0</v>
      </c>
      <c r="K38" s="48" t="s">
        <v>37</v>
      </c>
      <c r="L38" s="48" t="s">
        <v>42</v>
      </c>
      <c r="M38" s="38">
        <v>41455</v>
      </c>
      <c r="N38" s="48" t="s">
        <v>64</v>
      </c>
      <c r="O38" s="41">
        <v>45000</v>
      </c>
      <c r="P38" s="41">
        <v>45000</v>
      </c>
      <c r="Q38" s="41">
        <v>45000</v>
      </c>
    </row>
    <row r="39" spans="1:17" s="15" customFormat="1" ht="38.25" customHeight="1" x14ac:dyDescent="0.2">
      <c r="A39" s="43" t="s">
        <v>1220</v>
      </c>
      <c r="B39" s="46" t="s">
        <v>20</v>
      </c>
      <c r="C39" s="44" t="s">
        <v>1224</v>
      </c>
      <c r="D39" s="34">
        <v>5765</v>
      </c>
      <c r="E39" s="46" t="s">
        <v>1228</v>
      </c>
      <c r="F39" s="35">
        <f>97552*3</f>
        <v>292656</v>
      </c>
      <c r="G39" s="40">
        <f>97552*3</f>
        <v>292656</v>
      </c>
      <c r="H39" s="35">
        <v>0</v>
      </c>
      <c r="I39" s="35">
        <f t="shared" si="0"/>
        <v>292656</v>
      </c>
      <c r="J39" s="36">
        <f t="shared" si="1"/>
        <v>0</v>
      </c>
      <c r="K39" s="48" t="s">
        <v>37</v>
      </c>
      <c r="L39" s="48" t="s">
        <v>42</v>
      </c>
      <c r="M39" s="38">
        <v>41743</v>
      </c>
      <c r="N39" s="48" t="s">
        <v>64</v>
      </c>
      <c r="O39" s="35">
        <v>97552</v>
      </c>
      <c r="P39" s="35">
        <v>97552</v>
      </c>
      <c r="Q39" s="35">
        <v>97552</v>
      </c>
    </row>
    <row r="40" spans="1:17" s="15" customFormat="1" ht="18" customHeight="1" x14ac:dyDescent="0.2">
      <c r="A40" s="43" t="s">
        <v>545</v>
      </c>
      <c r="B40" s="46" t="s">
        <v>45</v>
      </c>
      <c r="C40" s="44" t="s">
        <v>559</v>
      </c>
      <c r="D40" s="47">
        <v>3656</v>
      </c>
      <c r="E40" s="46" t="s">
        <v>575</v>
      </c>
      <c r="F40" s="35">
        <f>24100*3</f>
        <v>72300</v>
      </c>
      <c r="G40" s="40">
        <f>24100*3</f>
        <v>72300</v>
      </c>
      <c r="H40" s="35">
        <v>0</v>
      </c>
      <c r="I40" s="35">
        <f t="shared" si="0"/>
        <v>72300</v>
      </c>
      <c r="J40" s="36">
        <f t="shared" si="1"/>
        <v>0</v>
      </c>
      <c r="K40" s="48" t="s">
        <v>37</v>
      </c>
      <c r="L40" s="48" t="s">
        <v>37</v>
      </c>
      <c r="M40" s="38">
        <v>41455</v>
      </c>
      <c r="N40" s="48" t="s">
        <v>64</v>
      </c>
      <c r="O40" s="41">
        <v>24100</v>
      </c>
      <c r="P40" s="41">
        <v>24100</v>
      </c>
      <c r="Q40" s="41">
        <v>24100</v>
      </c>
    </row>
    <row r="41" spans="1:17" s="15" customFormat="1" ht="18" customHeight="1" x14ac:dyDescent="0.2">
      <c r="A41" s="43" t="s">
        <v>1210</v>
      </c>
      <c r="B41" s="46" t="s">
        <v>40</v>
      </c>
      <c r="C41" s="44" t="s">
        <v>559</v>
      </c>
      <c r="D41" s="34">
        <v>3545</v>
      </c>
      <c r="E41" s="46" t="s">
        <v>1218</v>
      </c>
      <c r="F41" s="35">
        <f>9600*3</f>
        <v>28800</v>
      </c>
      <c r="G41" s="40">
        <f>9600*3</f>
        <v>28800</v>
      </c>
      <c r="H41" s="35">
        <v>0</v>
      </c>
      <c r="I41" s="35">
        <f t="shared" si="0"/>
        <v>28800</v>
      </c>
      <c r="J41" s="36">
        <f t="shared" si="1"/>
        <v>0</v>
      </c>
      <c r="K41" s="48" t="s">
        <v>37</v>
      </c>
      <c r="L41" s="48" t="s">
        <v>42</v>
      </c>
      <c r="M41" s="38">
        <v>41759</v>
      </c>
      <c r="N41" s="48" t="s">
        <v>64</v>
      </c>
      <c r="O41" s="35">
        <v>9600</v>
      </c>
      <c r="P41" s="35">
        <v>9600</v>
      </c>
      <c r="Q41" s="35">
        <v>9600</v>
      </c>
    </row>
    <row r="42" spans="1:17" s="15" customFormat="1" ht="26.25" customHeight="1" x14ac:dyDescent="0.2">
      <c r="A42" s="43" t="s">
        <v>697</v>
      </c>
      <c r="B42" s="46" t="s">
        <v>18</v>
      </c>
      <c r="C42" s="44" t="s">
        <v>712</v>
      </c>
      <c r="D42" s="34">
        <v>4756</v>
      </c>
      <c r="E42" s="46" t="s">
        <v>704</v>
      </c>
      <c r="F42" s="35">
        <v>25000</v>
      </c>
      <c r="G42" s="40">
        <v>5000</v>
      </c>
      <c r="H42" s="35">
        <v>25000</v>
      </c>
      <c r="I42" s="35">
        <f t="shared" si="0"/>
        <v>30000</v>
      </c>
      <c r="J42" s="36">
        <f t="shared" si="1"/>
        <v>5</v>
      </c>
      <c r="K42" s="48" t="s">
        <v>37</v>
      </c>
      <c r="L42" s="48" t="s">
        <v>37</v>
      </c>
      <c r="M42" s="52" t="s">
        <v>69</v>
      </c>
      <c r="N42" s="48" t="s">
        <v>36</v>
      </c>
      <c r="O42" s="35">
        <v>25000</v>
      </c>
      <c r="P42" s="35"/>
      <c r="Q42" s="35"/>
    </row>
    <row r="43" spans="1:17" s="15" customFormat="1" ht="26.25" customHeight="1" x14ac:dyDescent="0.2">
      <c r="A43" s="43" t="s">
        <v>657</v>
      </c>
      <c r="B43" s="46" t="s">
        <v>17</v>
      </c>
      <c r="C43" s="44" t="s">
        <v>670</v>
      </c>
      <c r="D43" s="34">
        <v>4321</v>
      </c>
      <c r="E43" s="46" t="s">
        <v>675</v>
      </c>
      <c r="F43" s="35">
        <f>91256*3</f>
        <v>273768</v>
      </c>
      <c r="G43" s="40">
        <f>91256*3</f>
        <v>273768</v>
      </c>
      <c r="H43" s="35">
        <v>0</v>
      </c>
      <c r="I43" s="35">
        <f t="shared" si="0"/>
        <v>273768</v>
      </c>
      <c r="J43" s="36">
        <f t="shared" si="1"/>
        <v>0</v>
      </c>
      <c r="K43" s="48" t="s">
        <v>37</v>
      </c>
      <c r="L43" s="48" t="s">
        <v>37</v>
      </c>
      <c r="M43" s="38">
        <v>41455</v>
      </c>
      <c r="N43" s="48" t="s">
        <v>64</v>
      </c>
      <c r="O43" s="35">
        <v>91256</v>
      </c>
      <c r="P43" s="35">
        <v>91256</v>
      </c>
      <c r="Q43" s="35">
        <v>91256</v>
      </c>
    </row>
    <row r="44" spans="1:17" s="15" customFormat="1" ht="26.25" customHeight="1" x14ac:dyDescent="0.2">
      <c r="A44" s="43" t="s">
        <v>1411</v>
      </c>
      <c r="B44" s="46" t="s">
        <v>76</v>
      </c>
      <c r="C44" s="44" t="s">
        <v>1413</v>
      </c>
      <c r="D44" s="34">
        <v>6295</v>
      </c>
      <c r="E44" s="46" t="s">
        <v>1416</v>
      </c>
      <c r="F44" s="35">
        <v>99500</v>
      </c>
      <c r="G44" s="40">
        <v>99500</v>
      </c>
      <c r="H44" s="35">
        <v>0</v>
      </c>
      <c r="I44" s="35">
        <f t="shared" si="0"/>
        <v>99500</v>
      </c>
      <c r="J44" s="36">
        <f t="shared" si="1"/>
        <v>0</v>
      </c>
      <c r="K44" s="48" t="s">
        <v>37</v>
      </c>
      <c r="L44" s="48" t="s">
        <v>37</v>
      </c>
      <c r="M44" s="38">
        <v>41547</v>
      </c>
      <c r="N44" s="48"/>
      <c r="O44" s="35">
        <v>99500</v>
      </c>
      <c r="P44" s="35"/>
      <c r="Q44" s="35"/>
    </row>
    <row r="45" spans="1:17" s="15" customFormat="1" ht="26.25" customHeight="1" x14ac:dyDescent="0.2">
      <c r="A45" s="43" t="s">
        <v>1347</v>
      </c>
      <c r="B45" s="46" t="s">
        <v>48</v>
      </c>
      <c r="C45" s="44" t="s">
        <v>1352</v>
      </c>
      <c r="D45" s="47">
        <v>6067</v>
      </c>
      <c r="E45" s="46" t="s">
        <v>1357</v>
      </c>
      <c r="F45" s="35">
        <v>5710</v>
      </c>
      <c r="G45" s="40">
        <v>5710</v>
      </c>
      <c r="H45" s="35">
        <v>0</v>
      </c>
      <c r="I45" s="35">
        <f t="shared" si="0"/>
        <v>5710</v>
      </c>
      <c r="J45" s="36">
        <f t="shared" si="1"/>
        <v>0</v>
      </c>
      <c r="K45" s="48" t="s">
        <v>37</v>
      </c>
      <c r="L45" s="48" t="s">
        <v>42</v>
      </c>
      <c r="M45" s="38">
        <v>41455</v>
      </c>
      <c r="N45" s="48"/>
      <c r="O45" s="35">
        <v>5710</v>
      </c>
      <c r="P45" s="35"/>
      <c r="Q45" s="35"/>
    </row>
    <row r="46" spans="1:17" s="15" customFormat="1" ht="26.25" customHeight="1" x14ac:dyDescent="0.2">
      <c r="A46" s="43" t="s">
        <v>257</v>
      </c>
      <c r="B46" s="46" t="s">
        <v>40</v>
      </c>
      <c r="C46" s="44" t="s">
        <v>288</v>
      </c>
      <c r="D46" s="34">
        <v>4136</v>
      </c>
      <c r="E46" s="46" t="s">
        <v>273</v>
      </c>
      <c r="F46" s="35">
        <f>92410*3</f>
        <v>277230</v>
      </c>
      <c r="G46" s="40">
        <f>92410*3</f>
        <v>277230</v>
      </c>
      <c r="H46" s="35">
        <v>0</v>
      </c>
      <c r="I46" s="35">
        <f t="shared" si="0"/>
        <v>277230</v>
      </c>
      <c r="J46" s="36">
        <f t="shared" si="1"/>
        <v>0</v>
      </c>
      <c r="K46" s="48" t="s">
        <v>37</v>
      </c>
      <c r="L46" s="48" t="s">
        <v>37</v>
      </c>
      <c r="M46" s="38">
        <v>41455</v>
      </c>
      <c r="N46" s="48" t="s">
        <v>64</v>
      </c>
      <c r="O46" s="41">
        <v>92410</v>
      </c>
      <c r="P46" s="41">
        <v>92410</v>
      </c>
      <c r="Q46" s="41">
        <v>92410</v>
      </c>
    </row>
    <row r="47" spans="1:17" s="15" customFormat="1" ht="18" customHeight="1" x14ac:dyDescent="0.2">
      <c r="A47" s="43" t="s">
        <v>1023</v>
      </c>
      <c r="B47" s="46" t="s">
        <v>76</v>
      </c>
      <c r="C47" s="44" t="s">
        <v>1029</v>
      </c>
      <c r="D47" s="34">
        <v>4827</v>
      </c>
      <c r="E47" s="46" t="s">
        <v>1033</v>
      </c>
      <c r="F47" s="35">
        <f>15000*3</f>
        <v>45000</v>
      </c>
      <c r="G47" s="40">
        <f>15000*3</f>
        <v>45000</v>
      </c>
      <c r="H47" s="35">
        <v>0</v>
      </c>
      <c r="I47" s="35">
        <f t="shared" si="0"/>
        <v>45000</v>
      </c>
      <c r="J47" s="36">
        <f t="shared" si="1"/>
        <v>0</v>
      </c>
      <c r="K47" s="48" t="s">
        <v>37</v>
      </c>
      <c r="L47" s="48" t="s">
        <v>37</v>
      </c>
      <c r="M47" s="52">
        <v>41455</v>
      </c>
      <c r="N47" s="48" t="s">
        <v>64</v>
      </c>
      <c r="O47" s="35">
        <v>15000</v>
      </c>
      <c r="P47" s="35">
        <v>15000</v>
      </c>
      <c r="Q47" s="35">
        <v>15000</v>
      </c>
    </row>
    <row r="48" spans="1:17" s="15" customFormat="1" ht="26.25" customHeight="1" x14ac:dyDescent="0.2">
      <c r="A48" s="43" t="s">
        <v>340</v>
      </c>
      <c r="B48" s="46" t="s">
        <v>26</v>
      </c>
      <c r="C48" s="44" t="s">
        <v>354</v>
      </c>
      <c r="D48" s="47" t="s">
        <v>372</v>
      </c>
      <c r="E48" s="46" t="s">
        <v>33</v>
      </c>
      <c r="F48" s="35">
        <v>20000</v>
      </c>
      <c r="G48" s="40">
        <v>20000</v>
      </c>
      <c r="H48" s="35">
        <v>0</v>
      </c>
      <c r="I48" s="35">
        <f t="shared" si="0"/>
        <v>20000</v>
      </c>
      <c r="J48" s="36">
        <f t="shared" si="1"/>
        <v>0</v>
      </c>
      <c r="K48" s="48" t="s">
        <v>37</v>
      </c>
      <c r="L48" s="48" t="s">
        <v>37</v>
      </c>
      <c r="M48" s="38">
        <v>41455</v>
      </c>
      <c r="N48" s="37"/>
      <c r="O48" s="41">
        <v>20000</v>
      </c>
      <c r="P48" s="41"/>
      <c r="Q48" s="41"/>
    </row>
    <row r="49" spans="1:17" s="15" customFormat="1" ht="26.25" customHeight="1" x14ac:dyDescent="0.2">
      <c r="A49" s="43" t="s">
        <v>1292</v>
      </c>
      <c r="B49" s="46" t="s">
        <v>1296</v>
      </c>
      <c r="C49" s="44" t="s">
        <v>1297</v>
      </c>
      <c r="D49" s="47">
        <v>5953</v>
      </c>
      <c r="E49" s="46" t="s">
        <v>1311</v>
      </c>
      <c r="F49" s="35">
        <v>44500</v>
      </c>
      <c r="G49" s="40">
        <v>44500</v>
      </c>
      <c r="H49" s="35">
        <v>0</v>
      </c>
      <c r="I49" s="35">
        <f t="shared" si="0"/>
        <v>44500</v>
      </c>
      <c r="J49" s="36">
        <f t="shared" si="1"/>
        <v>0</v>
      </c>
      <c r="K49" s="48" t="s">
        <v>37</v>
      </c>
      <c r="L49" s="48" t="s">
        <v>37</v>
      </c>
      <c r="M49" s="38">
        <v>41455</v>
      </c>
      <c r="N49" s="48"/>
      <c r="O49" s="35">
        <v>44500</v>
      </c>
      <c r="P49" s="35"/>
      <c r="Q49" s="35"/>
    </row>
    <row r="50" spans="1:17" s="15" customFormat="1" ht="38.25" customHeight="1" x14ac:dyDescent="0.2">
      <c r="A50" s="43" t="s">
        <v>338</v>
      </c>
      <c r="B50" s="46" t="s">
        <v>26</v>
      </c>
      <c r="C50" s="44" t="s">
        <v>353</v>
      </c>
      <c r="D50" s="47" t="s">
        <v>41</v>
      </c>
      <c r="E50" s="46" t="s">
        <v>386</v>
      </c>
      <c r="F50" s="35">
        <v>20000</v>
      </c>
      <c r="G50" s="40">
        <v>20000</v>
      </c>
      <c r="H50" s="35">
        <v>0</v>
      </c>
      <c r="I50" s="35">
        <f t="shared" si="0"/>
        <v>20000</v>
      </c>
      <c r="J50" s="36">
        <f t="shared" si="1"/>
        <v>0</v>
      </c>
      <c r="K50" s="48" t="s">
        <v>37</v>
      </c>
      <c r="L50" s="48" t="s">
        <v>37</v>
      </c>
      <c r="M50" s="38">
        <v>41455</v>
      </c>
      <c r="N50" s="37"/>
      <c r="O50" s="41">
        <v>20000</v>
      </c>
      <c r="P50" s="41"/>
      <c r="Q50" s="41"/>
    </row>
    <row r="51" spans="1:17" s="15" customFormat="1" ht="26.25" customHeight="1" x14ac:dyDescent="0.2">
      <c r="A51" s="43" t="s">
        <v>339</v>
      </c>
      <c r="B51" s="46" t="s">
        <v>26</v>
      </c>
      <c r="C51" s="44" t="s">
        <v>353</v>
      </c>
      <c r="D51" s="47" t="s">
        <v>371</v>
      </c>
      <c r="E51" s="46" t="s">
        <v>33</v>
      </c>
      <c r="F51" s="35">
        <v>30000</v>
      </c>
      <c r="G51" s="40">
        <v>30000</v>
      </c>
      <c r="H51" s="35">
        <v>0</v>
      </c>
      <c r="I51" s="35">
        <f t="shared" si="0"/>
        <v>30000</v>
      </c>
      <c r="J51" s="36">
        <f t="shared" si="1"/>
        <v>0</v>
      </c>
      <c r="K51" s="48" t="s">
        <v>37</v>
      </c>
      <c r="L51" s="48" t="s">
        <v>37</v>
      </c>
      <c r="M51" s="38">
        <v>41455</v>
      </c>
      <c r="N51" s="37"/>
      <c r="O51" s="41">
        <v>30000</v>
      </c>
      <c r="P51" s="41"/>
      <c r="Q51" s="41"/>
    </row>
    <row r="52" spans="1:17" s="15" customFormat="1" ht="26.25" customHeight="1" x14ac:dyDescent="0.2">
      <c r="A52" s="43" t="s">
        <v>1386</v>
      </c>
      <c r="B52" s="46" t="s">
        <v>66</v>
      </c>
      <c r="C52" s="44" t="s">
        <v>1393</v>
      </c>
      <c r="D52" s="34">
        <v>5985</v>
      </c>
      <c r="E52" s="46" t="s">
        <v>1402</v>
      </c>
      <c r="F52" s="35">
        <f>15312*3</f>
        <v>45936</v>
      </c>
      <c r="G52" s="40">
        <f>15312*3</f>
        <v>45936</v>
      </c>
      <c r="H52" s="35">
        <v>0</v>
      </c>
      <c r="I52" s="35">
        <f t="shared" si="0"/>
        <v>45936</v>
      </c>
      <c r="J52" s="36">
        <f t="shared" si="1"/>
        <v>0</v>
      </c>
      <c r="K52" s="48" t="s">
        <v>37</v>
      </c>
      <c r="L52" s="48" t="s">
        <v>37</v>
      </c>
      <c r="M52" s="38">
        <v>41820</v>
      </c>
      <c r="N52" s="48" t="s">
        <v>64</v>
      </c>
      <c r="O52" s="49">
        <v>15312</v>
      </c>
      <c r="P52" s="35">
        <v>15312</v>
      </c>
      <c r="Q52" s="35">
        <v>15312</v>
      </c>
    </row>
    <row r="53" spans="1:17" s="15" customFormat="1" ht="26.25" customHeight="1" x14ac:dyDescent="0.2">
      <c r="A53" s="43" t="s">
        <v>541</v>
      </c>
      <c r="B53" s="46" t="s">
        <v>551</v>
      </c>
      <c r="C53" s="44" t="s">
        <v>556</v>
      </c>
      <c r="D53" s="47">
        <v>4181</v>
      </c>
      <c r="E53" s="46" t="s">
        <v>571</v>
      </c>
      <c r="F53" s="35">
        <f>15000*3</f>
        <v>45000</v>
      </c>
      <c r="G53" s="40">
        <f>15000*3</f>
        <v>45000</v>
      </c>
      <c r="H53" s="35">
        <v>0</v>
      </c>
      <c r="I53" s="35">
        <f t="shared" si="0"/>
        <v>45000</v>
      </c>
      <c r="J53" s="36">
        <f t="shared" si="1"/>
        <v>0</v>
      </c>
      <c r="K53" s="48" t="s">
        <v>37</v>
      </c>
      <c r="L53" s="48" t="s">
        <v>37</v>
      </c>
      <c r="M53" s="38">
        <v>41455</v>
      </c>
      <c r="N53" s="48" t="s">
        <v>64</v>
      </c>
      <c r="O53" s="41">
        <v>15000</v>
      </c>
      <c r="P53" s="41">
        <v>15000</v>
      </c>
      <c r="Q53" s="41">
        <v>15000</v>
      </c>
    </row>
    <row r="54" spans="1:17" s="15" customFormat="1" ht="18" customHeight="1" x14ac:dyDescent="0.2">
      <c r="A54" s="43" t="s">
        <v>397</v>
      </c>
      <c r="B54" s="46" t="s">
        <v>92</v>
      </c>
      <c r="C54" s="44" t="s">
        <v>412</v>
      </c>
      <c r="D54" s="34">
        <v>3954</v>
      </c>
      <c r="E54" s="46" t="s">
        <v>428</v>
      </c>
      <c r="F54" s="35">
        <f>20000*3</f>
        <v>60000</v>
      </c>
      <c r="G54" s="40">
        <f>20000*3</f>
        <v>60000</v>
      </c>
      <c r="H54" s="35">
        <v>0</v>
      </c>
      <c r="I54" s="35">
        <f t="shared" si="0"/>
        <v>60000</v>
      </c>
      <c r="J54" s="36">
        <f t="shared" si="1"/>
        <v>0</v>
      </c>
      <c r="K54" s="48" t="s">
        <v>37</v>
      </c>
      <c r="L54" s="48" t="s">
        <v>37</v>
      </c>
      <c r="M54" s="38">
        <v>41455</v>
      </c>
      <c r="N54" s="48" t="s">
        <v>64</v>
      </c>
      <c r="O54" s="41">
        <v>20000</v>
      </c>
      <c r="P54" s="41">
        <v>20000</v>
      </c>
      <c r="Q54" s="41">
        <v>20000</v>
      </c>
    </row>
    <row r="55" spans="1:17" s="15" customFormat="1" ht="18" customHeight="1" x14ac:dyDescent="0.2">
      <c r="A55" s="43" t="s">
        <v>152</v>
      </c>
      <c r="B55" s="46" t="s">
        <v>45</v>
      </c>
      <c r="C55" s="44" t="s">
        <v>119</v>
      </c>
      <c r="D55" s="47">
        <v>3915</v>
      </c>
      <c r="E55" s="46" t="s">
        <v>180</v>
      </c>
      <c r="F55" s="35">
        <f>10500*3</f>
        <v>31500</v>
      </c>
      <c r="G55" s="40">
        <f>10500*3</f>
        <v>31500</v>
      </c>
      <c r="H55" s="35">
        <v>0</v>
      </c>
      <c r="I55" s="35">
        <f t="shared" si="0"/>
        <v>31500</v>
      </c>
      <c r="J55" s="36">
        <f t="shared" si="1"/>
        <v>0</v>
      </c>
      <c r="K55" s="48" t="s">
        <v>37</v>
      </c>
      <c r="L55" s="48" t="s">
        <v>37</v>
      </c>
      <c r="M55" s="38">
        <v>41455</v>
      </c>
      <c r="N55" s="48" t="s">
        <v>64</v>
      </c>
      <c r="O55" s="41">
        <v>10500</v>
      </c>
      <c r="P55" s="41">
        <v>10500</v>
      </c>
      <c r="Q55" s="41">
        <v>10500</v>
      </c>
    </row>
    <row r="56" spans="1:17" s="15" customFormat="1" ht="26.25" customHeight="1" x14ac:dyDescent="0.2">
      <c r="A56" s="43" t="s">
        <v>1160</v>
      </c>
      <c r="B56" s="46" t="s">
        <v>45</v>
      </c>
      <c r="C56" s="44" t="s">
        <v>119</v>
      </c>
      <c r="D56" s="47" t="s">
        <v>1166</v>
      </c>
      <c r="E56" s="46" t="s">
        <v>1169</v>
      </c>
      <c r="F56" s="35">
        <v>10000</v>
      </c>
      <c r="G56" s="40">
        <v>10500</v>
      </c>
      <c r="H56" s="35">
        <v>10000</v>
      </c>
      <c r="I56" s="35">
        <f t="shared" si="0"/>
        <v>20500</v>
      </c>
      <c r="J56" s="36">
        <f t="shared" si="1"/>
        <v>0.95238095238095233</v>
      </c>
      <c r="K56" s="48" t="s">
        <v>37</v>
      </c>
      <c r="L56" s="48" t="s">
        <v>37</v>
      </c>
      <c r="M56" s="38">
        <v>41455</v>
      </c>
      <c r="N56" s="48" t="s">
        <v>36</v>
      </c>
      <c r="O56" s="35">
        <v>10000</v>
      </c>
      <c r="P56" s="35"/>
      <c r="Q56" s="35"/>
    </row>
    <row r="57" spans="1:17" s="15" customFormat="1" ht="26.25" customHeight="1" x14ac:dyDescent="0.2">
      <c r="A57" s="43" t="s">
        <v>297</v>
      </c>
      <c r="B57" s="46" t="s">
        <v>40</v>
      </c>
      <c r="C57" s="44" t="s">
        <v>56</v>
      </c>
      <c r="D57" s="34">
        <v>4131</v>
      </c>
      <c r="E57" s="46" t="s">
        <v>311</v>
      </c>
      <c r="F57" s="35">
        <f>39000*3</f>
        <v>117000</v>
      </c>
      <c r="G57" s="40">
        <f>39000*3</f>
        <v>117000</v>
      </c>
      <c r="H57" s="35">
        <v>0</v>
      </c>
      <c r="I57" s="35">
        <f t="shared" si="0"/>
        <v>117000</v>
      </c>
      <c r="J57" s="36">
        <f t="shared" si="1"/>
        <v>0</v>
      </c>
      <c r="K57" s="48" t="s">
        <v>37</v>
      </c>
      <c r="L57" s="48" t="s">
        <v>37</v>
      </c>
      <c r="M57" s="38">
        <v>41455</v>
      </c>
      <c r="N57" s="48" t="s">
        <v>64</v>
      </c>
      <c r="O57" s="41">
        <v>39000</v>
      </c>
      <c r="P57" s="41">
        <v>39000</v>
      </c>
      <c r="Q57" s="41">
        <v>39000</v>
      </c>
    </row>
    <row r="58" spans="1:17" s="15" customFormat="1" ht="26.25" customHeight="1" x14ac:dyDescent="0.2">
      <c r="A58" s="43" t="s">
        <v>1162</v>
      </c>
      <c r="B58" s="46" t="s">
        <v>1067</v>
      </c>
      <c r="C58" s="44" t="s">
        <v>1164</v>
      </c>
      <c r="D58" s="47" t="s">
        <v>1167</v>
      </c>
      <c r="E58" s="46" t="s">
        <v>1171</v>
      </c>
      <c r="F58" s="35">
        <v>49000</v>
      </c>
      <c r="G58" s="40">
        <v>49000</v>
      </c>
      <c r="H58" s="35">
        <v>0</v>
      </c>
      <c r="I58" s="35">
        <f t="shared" si="0"/>
        <v>49000</v>
      </c>
      <c r="J58" s="36">
        <f t="shared" si="1"/>
        <v>0</v>
      </c>
      <c r="K58" s="48" t="s">
        <v>37</v>
      </c>
      <c r="L58" s="48" t="s">
        <v>37</v>
      </c>
      <c r="M58" s="38">
        <v>41455</v>
      </c>
      <c r="N58" s="48"/>
      <c r="O58" s="35">
        <v>49000</v>
      </c>
      <c r="P58" s="35"/>
      <c r="Q58" s="35"/>
    </row>
    <row r="59" spans="1:17" s="15" customFormat="1" ht="26.25" customHeight="1" x14ac:dyDescent="0.2">
      <c r="A59" s="43" t="s">
        <v>659</v>
      </c>
      <c r="B59" s="46" t="s">
        <v>48</v>
      </c>
      <c r="C59" s="44" t="s">
        <v>121</v>
      </c>
      <c r="D59" s="34">
        <v>4520</v>
      </c>
      <c r="E59" s="46" t="s">
        <v>678</v>
      </c>
      <c r="F59" s="35">
        <v>6181</v>
      </c>
      <c r="G59" s="40">
        <v>6181</v>
      </c>
      <c r="H59" s="35">
        <v>0</v>
      </c>
      <c r="I59" s="35">
        <f t="shared" si="0"/>
        <v>6181</v>
      </c>
      <c r="J59" s="36">
        <f t="shared" si="1"/>
        <v>0</v>
      </c>
      <c r="K59" s="48" t="s">
        <v>37</v>
      </c>
      <c r="L59" s="48" t="s">
        <v>37</v>
      </c>
      <c r="M59" s="38">
        <v>41182</v>
      </c>
      <c r="N59" s="48"/>
      <c r="O59" s="35">
        <v>6181</v>
      </c>
      <c r="P59" s="35"/>
      <c r="Q59" s="35"/>
    </row>
    <row r="60" spans="1:17" s="15" customFormat="1" ht="26.25" customHeight="1" x14ac:dyDescent="0.2">
      <c r="A60" s="43" t="s">
        <v>640</v>
      </c>
      <c r="B60" s="46" t="s">
        <v>46</v>
      </c>
      <c r="C60" s="44" t="s">
        <v>121</v>
      </c>
      <c r="D60" s="34">
        <v>4642</v>
      </c>
      <c r="E60" s="46" t="s">
        <v>653</v>
      </c>
      <c r="F60" s="35">
        <v>21304</v>
      </c>
      <c r="G60" s="40">
        <v>21304</v>
      </c>
      <c r="H60" s="35">
        <v>0</v>
      </c>
      <c r="I60" s="35">
        <f t="shared" si="0"/>
        <v>21304</v>
      </c>
      <c r="J60" s="36">
        <f t="shared" si="1"/>
        <v>0</v>
      </c>
      <c r="K60" s="48" t="s">
        <v>37</v>
      </c>
      <c r="L60" s="48" t="s">
        <v>37</v>
      </c>
      <c r="M60" s="38">
        <v>41455</v>
      </c>
      <c r="N60" s="37"/>
      <c r="O60" s="35">
        <v>21304</v>
      </c>
      <c r="P60" s="35"/>
      <c r="Q60" s="35"/>
    </row>
    <row r="61" spans="1:17" s="15" customFormat="1" ht="26.25" customHeight="1" x14ac:dyDescent="0.2">
      <c r="A61" s="43" t="s">
        <v>1133</v>
      </c>
      <c r="B61" s="46" t="s">
        <v>17</v>
      </c>
      <c r="C61" s="44" t="s">
        <v>1138</v>
      </c>
      <c r="D61" s="34">
        <v>5583</v>
      </c>
      <c r="E61" s="46" t="s">
        <v>1140</v>
      </c>
      <c r="F61" s="35">
        <f>40320*2</f>
        <v>80640</v>
      </c>
      <c r="G61" s="40">
        <f>40320*2</f>
        <v>80640</v>
      </c>
      <c r="H61" s="35">
        <v>0</v>
      </c>
      <c r="I61" s="35">
        <f t="shared" si="0"/>
        <v>80640</v>
      </c>
      <c r="J61" s="36">
        <f t="shared" si="1"/>
        <v>0</v>
      </c>
      <c r="K61" s="48" t="s">
        <v>37</v>
      </c>
      <c r="L61" s="48" t="s">
        <v>42</v>
      </c>
      <c r="M61" s="38">
        <v>41759</v>
      </c>
      <c r="N61" s="48" t="s">
        <v>64</v>
      </c>
      <c r="O61" s="35">
        <v>40320</v>
      </c>
      <c r="P61" s="35">
        <v>40320</v>
      </c>
      <c r="Q61" s="35"/>
    </row>
    <row r="62" spans="1:17" s="15" customFormat="1" ht="26.25" customHeight="1" x14ac:dyDescent="0.2">
      <c r="A62" s="43" t="s">
        <v>804</v>
      </c>
      <c r="B62" s="46" t="s">
        <v>825</v>
      </c>
      <c r="C62" s="44" t="s">
        <v>828</v>
      </c>
      <c r="D62" s="34">
        <v>4069</v>
      </c>
      <c r="E62" s="46" t="s">
        <v>850</v>
      </c>
      <c r="F62" s="35">
        <f>15000*3</f>
        <v>45000</v>
      </c>
      <c r="G62" s="40">
        <f>15000*3</f>
        <v>45000</v>
      </c>
      <c r="H62" s="35">
        <v>0</v>
      </c>
      <c r="I62" s="35">
        <f t="shared" si="0"/>
        <v>45000</v>
      </c>
      <c r="J62" s="36">
        <f t="shared" si="1"/>
        <v>0</v>
      </c>
      <c r="K62" s="48" t="s">
        <v>37</v>
      </c>
      <c r="L62" s="48" t="s">
        <v>37</v>
      </c>
      <c r="M62" s="38">
        <v>41455</v>
      </c>
      <c r="N62" s="48" t="s">
        <v>64</v>
      </c>
      <c r="O62" s="35">
        <v>15000</v>
      </c>
      <c r="P62" s="35">
        <v>15000</v>
      </c>
      <c r="Q62" s="35">
        <v>15000</v>
      </c>
    </row>
    <row r="63" spans="1:17" s="15" customFormat="1" ht="26.25" customHeight="1" x14ac:dyDescent="0.2">
      <c r="A63" s="43" t="s">
        <v>614</v>
      </c>
      <c r="B63" s="46" t="s">
        <v>39</v>
      </c>
      <c r="C63" s="44" t="s">
        <v>622</v>
      </c>
      <c r="D63" s="34">
        <v>4460</v>
      </c>
      <c r="E63" s="46" t="s">
        <v>632</v>
      </c>
      <c r="F63" s="35">
        <v>99000</v>
      </c>
      <c r="G63" s="40">
        <v>99000</v>
      </c>
      <c r="H63" s="35">
        <v>0</v>
      </c>
      <c r="I63" s="35">
        <f t="shared" si="0"/>
        <v>99000</v>
      </c>
      <c r="J63" s="36">
        <f t="shared" si="1"/>
        <v>0</v>
      </c>
      <c r="K63" s="48" t="s">
        <v>37</v>
      </c>
      <c r="L63" s="48" t="s">
        <v>37</v>
      </c>
      <c r="M63" s="38">
        <v>41455</v>
      </c>
      <c r="N63" s="37"/>
      <c r="O63" s="35">
        <v>99000</v>
      </c>
      <c r="P63" s="35"/>
      <c r="Q63" s="35"/>
    </row>
    <row r="64" spans="1:17" s="15" customFormat="1" ht="26.25" customHeight="1" x14ac:dyDescent="0.2">
      <c r="A64" s="43" t="s">
        <v>1278</v>
      </c>
      <c r="B64" s="46" t="s">
        <v>26</v>
      </c>
      <c r="C64" s="44" t="s">
        <v>622</v>
      </c>
      <c r="D64" s="47" t="s">
        <v>41</v>
      </c>
      <c r="E64" s="46" t="s">
        <v>1280</v>
      </c>
      <c r="F64" s="35">
        <v>99000</v>
      </c>
      <c r="G64" s="40">
        <v>99000</v>
      </c>
      <c r="H64" s="35">
        <v>0</v>
      </c>
      <c r="I64" s="35">
        <f t="shared" si="0"/>
        <v>99000</v>
      </c>
      <c r="J64" s="36">
        <f t="shared" si="1"/>
        <v>0</v>
      </c>
      <c r="K64" s="48" t="s">
        <v>37</v>
      </c>
      <c r="L64" s="48" t="s">
        <v>37</v>
      </c>
      <c r="M64" s="38">
        <v>41455</v>
      </c>
      <c r="N64" s="48"/>
      <c r="O64" s="35">
        <v>99000</v>
      </c>
      <c r="P64" s="35"/>
      <c r="Q64" s="35"/>
    </row>
    <row r="65" spans="1:17" s="15" customFormat="1" ht="26.25" customHeight="1" x14ac:dyDescent="0.2">
      <c r="A65" s="43" t="s">
        <v>957</v>
      </c>
      <c r="B65" s="46" t="s">
        <v>18</v>
      </c>
      <c r="C65" s="44" t="s">
        <v>967</v>
      </c>
      <c r="D65" s="34">
        <v>4962</v>
      </c>
      <c r="E65" s="46" t="s">
        <v>962</v>
      </c>
      <c r="F65" s="35">
        <v>15000</v>
      </c>
      <c r="G65" s="40">
        <v>5000</v>
      </c>
      <c r="H65" s="35">
        <v>15000</v>
      </c>
      <c r="I65" s="35">
        <f t="shared" si="0"/>
        <v>20000</v>
      </c>
      <c r="J65" s="36">
        <f t="shared" si="1"/>
        <v>3</v>
      </c>
      <c r="K65" s="48" t="s">
        <v>37</v>
      </c>
      <c r="L65" s="48" t="s">
        <v>37</v>
      </c>
      <c r="M65" s="52" t="s">
        <v>69</v>
      </c>
      <c r="N65" s="48" t="s">
        <v>36</v>
      </c>
      <c r="O65" s="35">
        <v>15000</v>
      </c>
      <c r="P65" s="35"/>
      <c r="Q65" s="35"/>
    </row>
    <row r="66" spans="1:17" s="15" customFormat="1" ht="26.25" customHeight="1" x14ac:dyDescent="0.2">
      <c r="A66" s="43" t="s">
        <v>603</v>
      </c>
      <c r="B66" s="46" t="s">
        <v>46</v>
      </c>
      <c r="C66" s="44" t="s">
        <v>666</v>
      </c>
      <c r="D66" s="34">
        <v>4503</v>
      </c>
      <c r="E66" s="46" t="s">
        <v>671</v>
      </c>
      <c r="F66" s="35">
        <f>50000*3</f>
        <v>150000</v>
      </c>
      <c r="G66" s="40">
        <f>50000*3</f>
        <v>150000</v>
      </c>
      <c r="H66" s="35">
        <v>0</v>
      </c>
      <c r="I66" s="35">
        <f t="shared" ref="I66:I129" si="2">G66+H66</f>
        <v>150000</v>
      </c>
      <c r="J66" s="36">
        <f t="shared" ref="J66:J129" si="3">IF(G66=0,100%,(I66-G66)/G66)</f>
        <v>0</v>
      </c>
      <c r="K66" s="48" t="s">
        <v>37</v>
      </c>
      <c r="L66" s="48" t="s">
        <v>37</v>
      </c>
      <c r="M66" s="38">
        <v>41455</v>
      </c>
      <c r="N66" s="48" t="s">
        <v>64</v>
      </c>
      <c r="O66" s="35">
        <v>50000</v>
      </c>
      <c r="P66" s="35">
        <v>50000</v>
      </c>
      <c r="Q66" s="35">
        <v>50000</v>
      </c>
    </row>
    <row r="67" spans="1:17" s="15" customFormat="1" ht="26.25" customHeight="1" x14ac:dyDescent="0.2">
      <c r="A67" s="43" t="s">
        <v>1103</v>
      </c>
      <c r="B67" s="46" t="s">
        <v>1091</v>
      </c>
      <c r="C67" s="44" t="s">
        <v>666</v>
      </c>
      <c r="D67" s="34">
        <v>5458</v>
      </c>
      <c r="E67" s="46" t="s">
        <v>1118</v>
      </c>
      <c r="F67" s="35">
        <f>28865*3</f>
        <v>86595</v>
      </c>
      <c r="G67" s="40">
        <f>28865*3</f>
        <v>86595</v>
      </c>
      <c r="H67" s="35">
        <v>0</v>
      </c>
      <c r="I67" s="35">
        <f t="shared" si="2"/>
        <v>86595</v>
      </c>
      <c r="J67" s="36">
        <f t="shared" si="3"/>
        <v>0</v>
      </c>
      <c r="K67" s="48" t="s">
        <v>37</v>
      </c>
      <c r="L67" s="48" t="s">
        <v>37</v>
      </c>
      <c r="M67" s="38">
        <v>41455</v>
      </c>
      <c r="N67" s="48" t="s">
        <v>64</v>
      </c>
      <c r="O67" s="35">
        <v>28865</v>
      </c>
      <c r="P67" s="35">
        <v>28865</v>
      </c>
      <c r="Q67" s="35">
        <v>28865</v>
      </c>
    </row>
    <row r="68" spans="1:17" s="15" customFormat="1" ht="18" customHeight="1" x14ac:dyDescent="0.2">
      <c r="A68" s="43" t="s">
        <v>871</v>
      </c>
      <c r="B68" s="46" t="s">
        <v>17</v>
      </c>
      <c r="C68" s="44" t="s">
        <v>879</v>
      </c>
      <c r="D68" s="34">
        <v>4750</v>
      </c>
      <c r="E68" s="46" t="s">
        <v>875</v>
      </c>
      <c r="F68" s="35">
        <v>10000</v>
      </c>
      <c r="G68" s="40">
        <v>10000</v>
      </c>
      <c r="H68" s="35">
        <v>0</v>
      </c>
      <c r="I68" s="35">
        <f t="shared" si="2"/>
        <v>10000</v>
      </c>
      <c r="J68" s="36">
        <f t="shared" si="3"/>
        <v>0</v>
      </c>
      <c r="K68" s="48" t="s">
        <v>37</v>
      </c>
      <c r="L68" s="48" t="s">
        <v>37</v>
      </c>
      <c r="M68" s="38">
        <v>41455</v>
      </c>
      <c r="N68" s="37"/>
      <c r="O68" s="35">
        <v>10000</v>
      </c>
      <c r="P68" s="35"/>
      <c r="Q68" s="35"/>
    </row>
    <row r="69" spans="1:17" s="15" customFormat="1" ht="18" customHeight="1" x14ac:dyDescent="0.2">
      <c r="A69" s="43" t="s">
        <v>490</v>
      </c>
      <c r="B69" s="46" t="s">
        <v>17</v>
      </c>
      <c r="C69" s="44" t="s">
        <v>501</v>
      </c>
      <c r="D69" s="47">
        <v>3939</v>
      </c>
      <c r="E69" s="46" t="s">
        <v>516</v>
      </c>
      <c r="F69" s="35">
        <f>30000*3</f>
        <v>90000</v>
      </c>
      <c r="G69" s="40">
        <f>30000*3</f>
        <v>90000</v>
      </c>
      <c r="H69" s="35">
        <v>0</v>
      </c>
      <c r="I69" s="35">
        <f t="shared" si="2"/>
        <v>90000</v>
      </c>
      <c r="J69" s="36">
        <f t="shared" si="3"/>
        <v>0</v>
      </c>
      <c r="K69" s="48" t="s">
        <v>37</v>
      </c>
      <c r="L69" s="48" t="s">
        <v>37</v>
      </c>
      <c r="M69" s="38">
        <v>41455</v>
      </c>
      <c r="N69" s="48" t="s">
        <v>64</v>
      </c>
      <c r="O69" s="41">
        <v>30000</v>
      </c>
      <c r="P69" s="41">
        <v>30000</v>
      </c>
      <c r="Q69" s="41">
        <v>30000</v>
      </c>
    </row>
    <row r="70" spans="1:17" s="15" customFormat="1" ht="26.25" customHeight="1" x14ac:dyDescent="0.2">
      <c r="A70" s="43" t="s">
        <v>448</v>
      </c>
      <c r="B70" s="46" t="s">
        <v>48</v>
      </c>
      <c r="C70" s="44" t="s">
        <v>460</v>
      </c>
      <c r="D70" s="47">
        <v>4297</v>
      </c>
      <c r="E70" s="46" t="s">
        <v>474</v>
      </c>
      <c r="F70" s="35">
        <f>24000*3</f>
        <v>72000</v>
      </c>
      <c r="G70" s="40">
        <f>24000*3</f>
        <v>72000</v>
      </c>
      <c r="H70" s="35">
        <v>0</v>
      </c>
      <c r="I70" s="35">
        <f t="shared" si="2"/>
        <v>72000</v>
      </c>
      <c r="J70" s="36">
        <f t="shared" si="3"/>
        <v>0</v>
      </c>
      <c r="K70" s="48" t="s">
        <v>37</v>
      </c>
      <c r="L70" s="48" t="s">
        <v>37</v>
      </c>
      <c r="M70" s="38">
        <v>41455</v>
      </c>
      <c r="N70" s="48" t="s">
        <v>64</v>
      </c>
      <c r="O70" s="41">
        <v>24000</v>
      </c>
      <c r="P70" s="41">
        <v>24000</v>
      </c>
      <c r="Q70" s="41">
        <v>24000</v>
      </c>
    </row>
    <row r="71" spans="1:17" s="15" customFormat="1" ht="26.25" customHeight="1" x14ac:dyDescent="0.2">
      <c r="A71" s="43" t="s">
        <v>1221</v>
      </c>
      <c r="B71" s="46" t="s">
        <v>48</v>
      </c>
      <c r="C71" s="44" t="s">
        <v>460</v>
      </c>
      <c r="D71" s="34">
        <v>5771</v>
      </c>
      <c r="E71" s="46" t="s">
        <v>1227</v>
      </c>
      <c r="F71" s="35">
        <v>30116</v>
      </c>
      <c r="G71" s="40">
        <v>24000</v>
      </c>
      <c r="H71" s="35">
        <v>30116</v>
      </c>
      <c r="I71" s="35">
        <f t="shared" si="2"/>
        <v>54116</v>
      </c>
      <c r="J71" s="36">
        <f t="shared" si="3"/>
        <v>1.2548333333333332</v>
      </c>
      <c r="K71" s="48" t="s">
        <v>37</v>
      </c>
      <c r="L71" s="48" t="s">
        <v>37</v>
      </c>
      <c r="M71" s="38">
        <v>41394</v>
      </c>
      <c r="N71" s="48" t="s">
        <v>36</v>
      </c>
      <c r="O71" s="35">
        <v>30116</v>
      </c>
      <c r="P71" s="35"/>
      <c r="Q71" s="35"/>
    </row>
    <row r="72" spans="1:17" s="15" customFormat="1" ht="26.25" customHeight="1" x14ac:dyDescent="0.2">
      <c r="A72" s="43" t="s">
        <v>583</v>
      </c>
      <c r="B72" s="46" t="s">
        <v>76</v>
      </c>
      <c r="C72" s="44" t="s">
        <v>595</v>
      </c>
      <c r="D72" s="34">
        <v>4448</v>
      </c>
      <c r="E72" s="46" t="s">
        <v>110</v>
      </c>
      <c r="F72" s="35">
        <v>44600</v>
      </c>
      <c r="G72" s="40">
        <v>48000</v>
      </c>
      <c r="H72" s="35">
        <v>44600</v>
      </c>
      <c r="I72" s="35">
        <f t="shared" si="2"/>
        <v>92600</v>
      </c>
      <c r="J72" s="36">
        <f t="shared" si="3"/>
        <v>0.9291666666666667</v>
      </c>
      <c r="K72" s="48" t="s">
        <v>37</v>
      </c>
      <c r="L72" s="48" t="s">
        <v>37</v>
      </c>
      <c r="M72" s="38">
        <v>41639</v>
      </c>
      <c r="N72" s="48" t="s">
        <v>36</v>
      </c>
      <c r="O72" s="35">
        <v>44600</v>
      </c>
      <c r="P72" s="35"/>
      <c r="Q72" s="35"/>
    </row>
    <row r="73" spans="1:17" s="15" customFormat="1" ht="26.25" customHeight="1" x14ac:dyDescent="0.2">
      <c r="A73" s="43" t="s">
        <v>250</v>
      </c>
      <c r="B73" s="46" t="s">
        <v>21</v>
      </c>
      <c r="C73" s="44" t="s">
        <v>283</v>
      </c>
      <c r="D73" s="34">
        <v>4048</v>
      </c>
      <c r="E73" s="46" t="s">
        <v>268</v>
      </c>
      <c r="F73" s="35">
        <f>80770*2</f>
        <v>161540</v>
      </c>
      <c r="G73" s="40">
        <f>80770*2</f>
        <v>161540</v>
      </c>
      <c r="H73" s="35">
        <v>0</v>
      </c>
      <c r="I73" s="35">
        <f t="shared" si="2"/>
        <v>161540</v>
      </c>
      <c r="J73" s="36">
        <f t="shared" si="3"/>
        <v>0</v>
      </c>
      <c r="K73" s="48" t="s">
        <v>37</v>
      </c>
      <c r="L73" s="48" t="s">
        <v>37</v>
      </c>
      <c r="M73" s="38">
        <v>41455</v>
      </c>
      <c r="N73" s="48" t="s">
        <v>64</v>
      </c>
      <c r="O73" s="41">
        <v>80770</v>
      </c>
      <c r="P73" s="41">
        <v>80770</v>
      </c>
      <c r="Q73" s="41"/>
    </row>
    <row r="74" spans="1:17" s="15" customFormat="1" ht="26.25" customHeight="1" x14ac:dyDescent="0.2">
      <c r="A74" s="43" t="s">
        <v>1189</v>
      </c>
      <c r="B74" s="46" t="s">
        <v>47</v>
      </c>
      <c r="C74" s="44" t="s">
        <v>1194</v>
      </c>
      <c r="D74" s="34">
        <v>5724</v>
      </c>
      <c r="E74" s="46" t="s">
        <v>1204</v>
      </c>
      <c r="F74" s="35">
        <f>45000*3</f>
        <v>135000</v>
      </c>
      <c r="G74" s="40">
        <f>45000*3</f>
        <v>135000</v>
      </c>
      <c r="H74" s="35">
        <v>0</v>
      </c>
      <c r="I74" s="35">
        <f t="shared" si="2"/>
        <v>135000</v>
      </c>
      <c r="J74" s="36">
        <f t="shared" si="3"/>
        <v>0</v>
      </c>
      <c r="K74" s="48" t="s">
        <v>37</v>
      </c>
      <c r="L74" s="48" t="s">
        <v>37</v>
      </c>
      <c r="M74" s="38">
        <v>41453</v>
      </c>
      <c r="N74" s="48" t="s">
        <v>64</v>
      </c>
      <c r="O74" s="35">
        <v>45000</v>
      </c>
      <c r="P74" s="35">
        <v>45000</v>
      </c>
      <c r="Q74" s="35">
        <v>45000</v>
      </c>
    </row>
    <row r="75" spans="1:17" s="15" customFormat="1" ht="26.25" customHeight="1" x14ac:dyDescent="0.2">
      <c r="A75" s="43" t="s">
        <v>440</v>
      </c>
      <c r="B75" s="46" t="s">
        <v>17</v>
      </c>
      <c r="C75" s="44" t="s">
        <v>38</v>
      </c>
      <c r="D75" s="47">
        <v>4363</v>
      </c>
      <c r="E75" s="46" t="s">
        <v>466</v>
      </c>
      <c r="F75" s="35">
        <v>20000</v>
      </c>
      <c r="G75" s="40">
        <v>20000</v>
      </c>
      <c r="H75" s="35">
        <v>0</v>
      </c>
      <c r="I75" s="35">
        <f t="shared" si="2"/>
        <v>20000</v>
      </c>
      <c r="J75" s="36">
        <f t="shared" si="3"/>
        <v>0</v>
      </c>
      <c r="K75" s="48" t="s">
        <v>37</v>
      </c>
      <c r="L75" s="48" t="s">
        <v>37</v>
      </c>
      <c r="M75" s="38">
        <v>41182</v>
      </c>
      <c r="N75" s="48"/>
      <c r="O75" s="41">
        <v>20000</v>
      </c>
      <c r="P75" s="41"/>
      <c r="Q75" s="41"/>
    </row>
    <row r="76" spans="1:17" s="15" customFormat="1" ht="26.25" customHeight="1" x14ac:dyDescent="0.2">
      <c r="A76" s="43" t="s">
        <v>146</v>
      </c>
      <c r="B76" s="46" t="s">
        <v>20</v>
      </c>
      <c r="C76" s="44" t="s">
        <v>204</v>
      </c>
      <c r="D76" s="47">
        <v>3793</v>
      </c>
      <c r="E76" s="46" t="s">
        <v>175</v>
      </c>
      <c r="F76" s="35">
        <f>35000*3</f>
        <v>105000</v>
      </c>
      <c r="G76" s="40">
        <f>35000*3</f>
        <v>105000</v>
      </c>
      <c r="H76" s="35">
        <v>0</v>
      </c>
      <c r="I76" s="35">
        <f t="shared" si="2"/>
        <v>105000</v>
      </c>
      <c r="J76" s="36">
        <f t="shared" si="3"/>
        <v>0</v>
      </c>
      <c r="K76" s="48" t="s">
        <v>37</v>
      </c>
      <c r="L76" s="48" t="s">
        <v>37</v>
      </c>
      <c r="M76" s="38">
        <v>41455</v>
      </c>
      <c r="N76" s="48" t="s">
        <v>64</v>
      </c>
      <c r="O76" s="41">
        <v>35000</v>
      </c>
      <c r="P76" s="41">
        <v>35000</v>
      </c>
      <c r="Q76" s="41">
        <v>35000</v>
      </c>
    </row>
    <row r="77" spans="1:17" s="15" customFormat="1" ht="18" customHeight="1" x14ac:dyDescent="0.2">
      <c r="A77" s="43" t="s">
        <v>227</v>
      </c>
      <c r="B77" s="46" t="s">
        <v>39</v>
      </c>
      <c r="C77" s="44" t="s">
        <v>235</v>
      </c>
      <c r="D77" s="34">
        <v>4218</v>
      </c>
      <c r="E77" s="46" t="s">
        <v>245</v>
      </c>
      <c r="F77" s="35">
        <f>6500*3</f>
        <v>19500</v>
      </c>
      <c r="G77" s="40">
        <f>6500*3</f>
        <v>19500</v>
      </c>
      <c r="H77" s="35">
        <v>0</v>
      </c>
      <c r="I77" s="35">
        <f t="shared" si="2"/>
        <v>19500</v>
      </c>
      <c r="J77" s="36">
        <f t="shared" si="3"/>
        <v>0</v>
      </c>
      <c r="K77" s="48" t="s">
        <v>37</v>
      </c>
      <c r="L77" s="48" t="s">
        <v>37</v>
      </c>
      <c r="M77" s="38">
        <v>41425</v>
      </c>
      <c r="N77" s="48" t="s">
        <v>64</v>
      </c>
      <c r="O77" s="41">
        <v>6500</v>
      </c>
      <c r="P77" s="41">
        <v>6500</v>
      </c>
      <c r="Q77" s="41">
        <v>6500</v>
      </c>
    </row>
    <row r="78" spans="1:17" s="15" customFormat="1" ht="26.25" customHeight="1" x14ac:dyDescent="0.2">
      <c r="A78" s="43" t="s">
        <v>1294</v>
      </c>
      <c r="B78" s="46" t="s">
        <v>18</v>
      </c>
      <c r="C78" s="44" t="s">
        <v>1299</v>
      </c>
      <c r="D78" s="47" t="s">
        <v>1307</v>
      </c>
      <c r="E78" s="46" t="s">
        <v>1313</v>
      </c>
      <c r="F78" s="35">
        <v>15000</v>
      </c>
      <c r="G78" s="40">
        <v>5000</v>
      </c>
      <c r="H78" s="35">
        <v>15000</v>
      </c>
      <c r="I78" s="35">
        <f t="shared" si="2"/>
        <v>20000</v>
      </c>
      <c r="J78" s="36">
        <f t="shared" si="3"/>
        <v>3</v>
      </c>
      <c r="K78" s="48" t="s">
        <v>37</v>
      </c>
      <c r="L78" s="48" t="s">
        <v>37</v>
      </c>
      <c r="M78" s="52" t="s">
        <v>69</v>
      </c>
      <c r="N78" s="48" t="s">
        <v>36</v>
      </c>
      <c r="O78" s="35">
        <v>15000</v>
      </c>
      <c r="P78" s="35"/>
      <c r="Q78" s="35"/>
    </row>
    <row r="79" spans="1:17" s="15" customFormat="1" ht="26.25" customHeight="1" x14ac:dyDescent="0.2">
      <c r="A79" s="43" t="s">
        <v>1208</v>
      </c>
      <c r="B79" s="46" t="s">
        <v>48</v>
      </c>
      <c r="C79" s="44" t="s">
        <v>1212</v>
      </c>
      <c r="D79" s="34">
        <v>5759</v>
      </c>
      <c r="E79" s="46" t="s">
        <v>1216</v>
      </c>
      <c r="F79" s="35">
        <v>10025</v>
      </c>
      <c r="G79" s="40">
        <v>10025</v>
      </c>
      <c r="H79" s="35">
        <v>0</v>
      </c>
      <c r="I79" s="35">
        <f t="shared" si="2"/>
        <v>10025</v>
      </c>
      <c r="J79" s="36">
        <f t="shared" si="3"/>
        <v>0</v>
      </c>
      <c r="K79" s="48" t="s">
        <v>37</v>
      </c>
      <c r="L79" s="48" t="s">
        <v>37</v>
      </c>
      <c r="M79" s="38">
        <v>41385</v>
      </c>
      <c r="N79" s="48"/>
      <c r="O79" s="35">
        <v>10025</v>
      </c>
      <c r="P79" s="35"/>
      <c r="Q79" s="35"/>
    </row>
    <row r="80" spans="1:17" s="15" customFormat="1" ht="26.25" customHeight="1" x14ac:dyDescent="0.2">
      <c r="A80" s="43" t="s">
        <v>1321</v>
      </c>
      <c r="B80" s="46" t="s">
        <v>48</v>
      </c>
      <c r="C80" s="44" t="s">
        <v>1212</v>
      </c>
      <c r="D80" s="47">
        <v>6111</v>
      </c>
      <c r="E80" s="46" t="s">
        <v>1333</v>
      </c>
      <c r="F80" s="35">
        <v>10136</v>
      </c>
      <c r="G80" s="40">
        <v>10136</v>
      </c>
      <c r="H80" s="35">
        <v>0</v>
      </c>
      <c r="I80" s="35">
        <f t="shared" si="2"/>
        <v>10136</v>
      </c>
      <c r="J80" s="36">
        <f t="shared" si="3"/>
        <v>0</v>
      </c>
      <c r="K80" s="48" t="s">
        <v>37</v>
      </c>
      <c r="L80" s="48" t="s">
        <v>37</v>
      </c>
      <c r="M80" s="38">
        <v>41406</v>
      </c>
      <c r="N80" s="48"/>
      <c r="O80" s="35">
        <v>10136</v>
      </c>
      <c r="P80" s="35"/>
      <c r="Q80" s="35"/>
    </row>
    <row r="81" spans="1:17" s="15" customFormat="1" ht="26.25" customHeight="1" x14ac:dyDescent="0.2">
      <c r="A81" s="43" t="s">
        <v>981</v>
      </c>
      <c r="B81" s="46" t="s">
        <v>26</v>
      </c>
      <c r="C81" s="44" t="s">
        <v>986</v>
      </c>
      <c r="D81" s="47" t="s">
        <v>41</v>
      </c>
      <c r="E81" s="46" t="s">
        <v>989</v>
      </c>
      <c r="F81" s="35">
        <v>25000</v>
      </c>
      <c r="G81" s="40">
        <v>25000</v>
      </c>
      <c r="H81" s="35">
        <v>0</v>
      </c>
      <c r="I81" s="35">
        <f t="shared" si="2"/>
        <v>25000</v>
      </c>
      <c r="J81" s="36">
        <f t="shared" si="3"/>
        <v>0</v>
      </c>
      <c r="K81" s="48" t="s">
        <v>37</v>
      </c>
      <c r="L81" s="48" t="s">
        <v>37</v>
      </c>
      <c r="M81" s="38">
        <v>41455</v>
      </c>
      <c r="N81" s="37"/>
      <c r="O81" s="35">
        <v>25000</v>
      </c>
      <c r="P81" s="35"/>
      <c r="Q81" s="35"/>
    </row>
    <row r="82" spans="1:17" s="15" customFormat="1" ht="26.25" customHeight="1" x14ac:dyDescent="0.2">
      <c r="A82" s="43" t="s">
        <v>1346</v>
      </c>
      <c r="B82" s="46" t="s">
        <v>39</v>
      </c>
      <c r="C82" s="44" t="s">
        <v>1351</v>
      </c>
      <c r="D82" s="47">
        <v>6058</v>
      </c>
      <c r="E82" s="46" t="s">
        <v>1356</v>
      </c>
      <c r="F82" s="35">
        <v>7417</v>
      </c>
      <c r="G82" s="40">
        <v>7417</v>
      </c>
      <c r="H82" s="35">
        <v>0</v>
      </c>
      <c r="I82" s="35">
        <f t="shared" si="2"/>
        <v>7417</v>
      </c>
      <c r="J82" s="36">
        <f t="shared" si="3"/>
        <v>0</v>
      </c>
      <c r="K82" s="48" t="s">
        <v>37</v>
      </c>
      <c r="L82" s="48" t="s">
        <v>37</v>
      </c>
      <c r="M82" s="38">
        <v>41772</v>
      </c>
      <c r="N82" s="48"/>
      <c r="O82" s="35">
        <v>7417</v>
      </c>
      <c r="P82" s="35"/>
      <c r="Q82" s="35"/>
    </row>
    <row r="83" spans="1:17" s="15" customFormat="1" ht="26.25" customHeight="1" x14ac:dyDescent="0.2">
      <c r="A83" s="43" t="s">
        <v>808</v>
      </c>
      <c r="B83" s="46" t="s">
        <v>825</v>
      </c>
      <c r="C83" s="44" t="s">
        <v>832</v>
      </c>
      <c r="D83" s="34">
        <v>4099</v>
      </c>
      <c r="E83" s="46" t="s">
        <v>854</v>
      </c>
      <c r="F83" s="35">
        <f>15000*3</f>
        <v>45000</v>
      </c>
      <c r="G83" s="40">
        <f>15000*3</f>
        <v>45000</v>
      </c>
      <c r="H83" s="35">
        <v>0</v>
      </c>
      <c r="I83" s="35">
        <f t="shared" si="2"/>
        <v>45000</v>
      </c>
      <c r="J83" s="36">
        <f t="shared" si="3"/>
        <v>0</v>
      </c>
      <c r="K83" s="48" t="s">
        <v>37</v>
      </c>
      <c r="L83" s="48" t="s">
        <v>37</v>
      </c>
      <c r="M83" s="38">
        <v>41455</v>
      </c>
      <c r="N83" s="48" t="s">
        <v>64</v>
      </c>
      <c r="O83" s="35">
        <v>15000</v>
      </c>
      <c r="P83" s="35">
        <v>15000</v>
      </c>
      <c r="Q83" s="35">
        <v>15000</v>
      </c>
    </row>
    <row r="84" spans="1:17" s="15" customFormat="1" ht="26.25" customHeight="1" x14ac:dyDescent="0.2">
      <c r="A84" s="43" t="s">
        <v>1209</v>
      </c>
      <c r="B84" s="46" t="s">
        <v>48</v>
      </c>
      <c r="C84" s="44" t="s">
        <v>1213</v>
      </c>
      <c r="D84" s="34">
        <v>5762</v>
      </c>
      <c r="E84" s="46" t="s">
        <v>1217</v>
      </c>
      <c r="F84" s="35">
        <v>10500</v>
      </c>
      <c r="G84" s="40">
        <v>10500</v>
      </c>
      <c r="H84" s="35">
        <v>0</v>
      </c>
      <c r="I84" s="35">
        <f t="shared" si="2"/>
        <v>10500</v>
      </c>
      <c r="J84" s="36">
        <f t="shared" si="3"/>
        <v>0</v>
      </c>
      <c r="K84" s="48" t="s">
        <v>37</v>
      </c>
      <c r="L84" s="48" t="s">
        <v>37</v>
      </c>
      <c r="M84" s="38">
        <v>41385</v>
      </c>
      <c r="N84" s="48"/>
      <c r="O84" s="35">
        <v>10500</v>
      </c>
      <c r="P84" s="35"/>
      <c r="Q84" s="35"/>
    </row>
    <row r="85" spans="1:17" s="15" customFormat="1" ht="26.25" customHeight="1" x14ac:dyDescent="0.2">
      <c r="A85" s="43" t="s">
        <v>1254</v>
      </c>
      <c r="B85" s="46" t="s">
        <v>48</v>
      </c>
      <c r="C85" s="44" t="s">
        <v>1234</v>
      </c>
      <c r="D85" s="47">
        <v>5827</v>
      </c>
      <c r="E85" s="46" t="s">
        <v>1244</v>
      </c>
      <c r="F85" s="35">
        <v>10205</v>
      </c>
      <c r="G85" s="40">
        <v>10205</v>
      </c>
      <c r="H85" s="35">
        <v>0</v>
      </c>
      <c r="I85" s="35">
        <f t="shared" si="2"/>
        <v>10205</v>
      </c>
      <c r="J85" s="36">
        <f t="shared" si="3"/>
        <v>0</v>
      </c>
      <c r="K85" s="48" t="s">
        <v>37</v>
      </c>
      <c r="L85" s="48" t="s">
        <v>37</v>
      </c>
      <c r="M85" s="38">
        <v>41383</v>
      </c>
      <c r="N85" s="48"/>
      <c r="O85" s="35">
        <v>10205</v>
      </c>
      <c r="P85" s="35"/>
      <c r="Q85" s="35"/>
    </row>
    <row r="86" spans="1:17" s="15" customFormat="1" ht="38.25" customHeight="1" x14ac:dyDescent="0.2">
      <c r="A86" s="43" t="s">
        <v>1323</v>
      </c>
      <c r="B86" s="46" t="s">
        <v>48</v>
      </c>
      <c r="C86" s="44" t="s">
        <v>1234</v>
      </c>
      <c r="D86" s="47">
        <v>6121</v>
      </c>
      <c r="E86" s="46" t="s">
        <v>1335</v>
      </c>
      <c r="F86" s="35">
        <v>13400</v>
      </c>
      <c r="G86" s="40">
        <v>13400</v>
      </c>
      <c r="H86" s="35">
        <v>0</v>
      </c>
      <c r="I86" s="35">
        <f t="shared" si="2"/>
        <v>13400</v>
      </c>
      <c r="J86" s="36">
        <f t="shared" si="3"/>
        <v>0</v>
      </c>
      <c r="K86" s="48" t="s">
        <v>37</v>
      </c>
      <c r="L86" s="48" t="s">
        <v>37</v>
      </c>
      <c r="M86" s="38">
        <v>41406</v>
      </c>
      <c r="N86" s="48"/>
      <c r="O86" s="35">
        <v>13400</v>
      </c>
      <c r="P86" s="35"/>
      <c r="Q86" s="35"/>
    </row>
    <row r="87" spans="1:17" s="15" customFormat="1" ht="18" customHeight="1" x14ac:dyDescent="0.2">
      <c r="A87" s="43" t="s">
        <v>147</v>
      </c>
      <c r="B87" s="46" t="s">
        <v>20</v>
      </c>
      <c r="C87" s="44" t="s">
        <v>205</v>
      </c>
      <c r="D87" s="47">
        <v>3798</v>
      </c>
      <c r="E87" s="46" t="s">
        <v>176</v>
      </c>
      <c r="F87" s="35">
        <f>7000*3</f>
        <v>21000</v>
      </c>
      <c r="G87" s="40">
        <f>7000*3</f>
        <v>21000</v>
      </c>
      <c r="H87" s="35">
        <v>0</v>
      </c>
      <c r="I87" s="35">
        <f t="shared" si="2"/>
        <v>21000</v>
      </c>
      <c r="J87" s="36">
        <f t="shared" si="3"/>
        <v>0</v>
      </c>
      <c r="K87" s="48" t="s">
        <v>37</v>
      </c>
      <c r="L87" s="48" t="s">
        <v>37</v>
      </c>
      <c r="M87" s="38">
        <v>41455</v>
      </c>
      <c r="N87" s="48" t="s">
        <v>64</v>
      </c>
      <c r="O87" s="41">
        <v>7000</v>
      </c>
      <c r="P87" s="41">
        <v>7000</v>
      </c>
      <c r="Q87" s="41">
        <v>7000</v>
      </c>
    </row>
    <row r="88" spans="1:17" s="15" customFormat="1" ht="18" customHeight="1" x14ac:dyDescent="0.2">
      <c r="A88" s="43" t="s">
        <v>479</v>
      </c>
      <c r="B88" s="46" t="s">
        <v>39</v>
      </c>
      <c r="C88" s="44" t="s">
        <v>494</v>
      </c>
      <c r="D88" s="47">
        <v>4391</v>
      </c>
      <c r="E88" s="46" t="s">
        <v>505</v>
      </c>
      <c r="F88" s="35">
        <f>14696*3</f>
        <v>44088</v>
      </c>
      <c r="G88" s="40">
        <f>14696*3</f>
        <v>44088</v>
      </c>
      <c r="H88" s="35">
        <v>0</v>
      </c>
      <c r="I88" s="35">
        <f t="shared" si="2"/>
        <v>44088</v>
      </c>
      <c r="J88" s="36">
        <f t="shared" si="3"/>
        <v>0</v>
      </c>
      <c r="K88" s="48" t="s">
        <v>37</v>
      </c>
      <c r="L88" s="48" t="s">
        <v>37</v>
      </c>
      <c r="M88" s="38">
        <v>41517</v>
      </c>
      <c r="N88" s="48" t="s">
        <v>64</v>
      </c>
      <c r="O88" s="41">
        <v>14696</v>
      </c>
      <c r="P88" s="41">
        <v>14696</v>
      </c>
      <c r="Q88" s="41">
        <v>14696</v>
      </c>
    </row>
    <row r="89" spans="1:17" s="15" customFormat="1" ht="26.25" customHeight="1" x14ac:dyDescent="0.2">
      <c r="A89" s="43" t="s">
        <v>1006</v>
      </c>
      <c r="B89" s="46" t="s">
        <v>76</v>
      </c>
      <c r="C89" s="44" t="s">
        <v>1011</v>
      </c>
      <c r="D89" s="34">
        <v>5230</v>
      </c>
      <c r="E89" s="46" t="s">
        <v>1016</v>
      </c>
      <c r="F89" s="35">
        <f>12000*3</f>
        <v>36000</v>
      </c>
      <c r="G89" s="40">
        <v>12000</v>
      </c>
      <c r="H89" s="35">
        <f>12000*3</f>
        <v>36000</v>
      </c>
      <c r="I89" s="35">
        <f t="shared" si="2"/>
        <v>48000</v>
      </c>
      <c r="J89" s="36">
        <f t="shared" si="3"/>
        <v>3</v>
      </c>
      <c r="K89" s="48" t="s">
        <v>37</v>
      </c>
      <c r="L89" s="48" t="s">
        <v>37</v>
      </c>
      <c r="M89" s="38">
        <v>41613</v>
      </c>
      <c r="N89" s="48" t="s">
        <v>64</v>
      </c>
      <c r="O89" s="35">
        <v>12000</v>
      </c>
      <c r="P89" s="35">
        <v>12000</v>
      </c>
      <c r="Q89" s="35">
        <v>12000</v>
      </c>
    </row>
    <row r="90" spans="1:17" s="15" customFormat="1" ht="26.25" customHeight="1" x14ac:dyDescent="0.2">
      <c r="A90" s="43" t="s">
        <v>1022</v>
      </c>
      <c r="B90" s="46" t="s">
        <v>76</v>
      </c>
      <c r="C90" s="44" t="s">
        <v>1027</v>
      </c>
      <c r="D90" s="34">
        <v>4989</v>
      </c>
      <c r="E90" s="46" t="s">
        <v>1032</v>
      </c>
      <c r="F90" s="35">
        <f>6000*3</f>
        <v>18000</v>
      </c>
      <c r="G90" s="40">
        <f>6000*3</f>
        <v>18000</v>
      </c>
      <c r="H90" s="35">
        <v>0</v>
      </c>
      <c r="I90" s="35">
        <f t="shared" si="2"/>
        <v>18000</v>
      </c>
      <c r="J90" s="36">
        <f t="shared" si="3"/>
        <v>0</v>
      </c>
      <c r="K90" s="48" t="s">
        <v>37</v>
      </c>
      <c r="L90" s="48" t="s">
        <v>37</v>
      </c>
      <c r="M90" s="52">
        <v>41455</v>
      </c>
      <c r="N90" s="48" t="s">
        <v>64</v>
      </c>
      <c r="O90" s="35">
        <v>6000</v>
      </c>
      <c r="P90" s="35">
        <v>6000</v>
      </c>
      <c r="Q90" s="35">
        <v>6000</v>
      </c>
    </row>
    <row r="91" spans="1:17" s="15" customFormat="1" ht="26.25" customHeight="1" x14ac:dyDescent="0.2">
      <c r="A91" s="43" t="s">
        <v>337</v>
      </c>
      <c r="B91" s="46" t="s">
        <v>26</v>
      </c>
      <c r="C91" s="44" t="s">
        <v>352</v>
      </c>
      <c r="D91" s="47" t="s">
        <v>370</v>
      </c>
      <c r="E91" s="46" t="s">
        <v>35</v>
      </c>
      <c r="F91" s="35">
        <v>20000</v>
      </c>
      <c r="G91" s="40">
        <v>20000</v>
      </c>
      <c r="H91" s="35">
        <v>0</v>
      </c>
      <c r="I91" s="35">
        <f t="shared" si="2"/>
        <v>20000</v>
      </c>
      <c r="J91" s="36">
        <f t="shared" si="3"/>
        <v>0</v>
      </c>
      <c r="K91" s="48" t="s">
        <v>37</v>
      </c>
      <c r="L91" s="48" t="s">
        <v>37</v>
      </c>
      <c r="M91" s="38">
        <v>41455</v>
      </c>
      <c r="N91" s="37"/>
      <c r="O91" s="41">
        <v>20000</v>
      </c>
      <c r="P91" s="41"/>
      <c r="Q91" s="41"/>
    </row>
    <row r="92" spans="1:17" s="15" customFormat="1" ht="26.25" customHeight="1" x14ac:dyDescent="0.2">
      <c r="A92" s="43" t="s">
        <v>336</v>
      </c>
      <c r="B92" s="46" t="s">
        <v>26</v>
      </c>
      <c r="C92" s="44" t="s">
        <v>31</v>
      </c>
      <c r="D92" s="47" t="s">
        <v>369</v>
      </c>
      <c r="E92" s="46" t="s">
        <v>33</v>
      </c>
      <c r="F92" s="35">
        <v>25000</v>
      </c>
      <c r="G92" s="40">
        <v>25000</v>
      </c>
      <c r="H92" s="35">
        <v>0</v>
      </c>
      <c r="I92" s="35">
        <f t="shared" si="2"/>
        <v>25000</v>
      </c>
      <c r="J92" s="36">
        <f t="shared" si="3"/>
        <v>0</v>
      </c>
      <c r="K92" s="48" t="s">
        <v>37</v>
      </c>
      <c r="L92" s="48" t="s">
        <v>37</v>
      </c>
      <c r="M92" s="38">
        <v>41455</v>
      </c>
      <c r="N92" s="37"/>
      <c r="O92" s="41">
        <v>25000</v>
      </c>
      <c r="P92" s="41"/>
      <c r="Q92" s="41"/>
    </row>
    <row r="93" spans="1:17" s="15" customFormat="1" ht="26.25" customHeight="1" x14ac:dyDescent="0.2">
      <c r="A93" s="43" t="s">
        <v>805</v>
      </c>
      <c r="B93" s="46" t="s">
        <v>825</v>
      </c>
      <c r="C93" s="44" t="s">
        <v>829</v>
      </c>
      <c r="D93" s="34">
        <v>4076</v>
      </c>
      <c r="E93" s="46" t="s">
        <v>851</v>
      </c>
      <c r="F93" s="35">
        <f>20000*3</f>
        <v>60000</v>
      </c>
      <c r="G93" s="40">
        <f>20000*3</f>
        <v>60000</v>
      </c>
      <c r="H93" s="35">
        <v>0</v>
      </c>
      <c r="I93" s="35">
        <f t="shared" si="2"/>
        <v>60000</v>
      </c>
      <c r="J93" s="36">
        <f t="shared" si="3"/>
        <v>0</v>
      </c>
      <c r="K93" s="48" t="s">
        <v>37</v>
      </c>
      <c r="L93" s="48" t="s">
        <v>37</v>
      </c>
      <c r="M93" s="38">
        <v>41455</v>
      </c>
      <c r="N93" s="48" t="s">
        <v>64</v>
      </c>
      <c r="O93" s="35">
        <v>20000</v>
      </c>
      <c r="P93" s="35">
        <v>20000</v>
      </c>
      <c r="Q93" s="35">
        <v>20000</v>
      </c>
    </row>
    <row r="94" spans="1:17" s="15" customFormat="1" ht="26.25" customHeight="1" x14ac:dyDescent="0.2">
      <c r="A94" s="43" t="s">
        <v>660</v>
      </c>
      <c r="B94" s="46" t="s">
        <v>46</v>
      </c>
      <c r="C94" s="44" t="s">
        <v>82</v>
      </c>
      <c r="D94" s="34">
        <v>4609</v>
      </c>
      <c r="E94" s="46" t="s">
        <v>679</v>
      </c>
      <c r="F94" s="35">
        <v>14750</v>
      </c>
      <c r="G94" s="40">
        <v>14750</v>
      </c>
      <c r="H94" s="35">
        <v>0</v>
      </c>
      <c r="I94" s="35">
        <f t="shared" si="2"/>
        <v>14750</v>
      </c>
      <c r="J94" s="36">
        <f t="shared" si="3"/>
        <v>0</v>
      </c>
      <c r="K94" s="48" t="s">
        <v>37</v>
      </c>
      <c r="L94" s="48" t="s">
        <v>37</v>
      </c>
      <c r="M94" s="38">
        <v>41523</v>
      </c>
      <c r="N94" s="48"/>
      <c r="O94" s="35">
        <v>14750</v>
      </c>
      <c r="P94" s="35"/>
      <c r="Q94" s="35"/>
    </row>
    <row r="95" spans="1:17" s="15" customFormat="1" ht="26.25" customHeight="1" x14ac:dyDescent="0.2">
      <c r="A95" s="43" t="s">
        <v>895</v>
      </c>
      <c r="B95" s="46" t="s">
        <v>45</v>
      </c>
      <c r="C95" s="44" t="s">
        <v>905</v>
      </c>
      <c r="D95" s="34">
        <v>4982</v>
      </c>
      <c r="E95" s="46" t="s">
        <v>911</v>
      </c>
      <c r="F95" s="35">
        <v>9802</v>
      </c>
      <c r="G95" s="40">
        <v>9802</v>
      </c>
      <c r="H95" s="35">
        <v>0</v>
      </c>
      <c r="I95" s="35">
        <f t="shared" si="2"/>
        <v>9802</v>
      </c>
      <c r="J95" s="36">
        <f t="shared" si="3"/>
        <v>0</v>
      </c>
      <c r="K95" s="48" t="s">
        <v>37</v>
      </c>
      <c r="L95" s="48" t="s">
        <v>37</v>
      </c>
      <c r="M95" s="38">
        <v>41305</v>
      </c>
      <c r="N95" s="37"/>
      <c r="O95" s="35">
        <v>9802</v>
      </c>
      <c r="P95" s="35"/>
      <c r="Q95" s="35"/>
    </row>
    <row r="96" spans="1:17" s="15" customFormat="1" ht="38.25" customHeight="1" x14ac:dyDescent="0.2">
      <c r="A96" s="43" t="s">
        <v>1265</v>
      </c>
      <c r="B96" s="46" t="s">
        <v>45</v>
      </c>
      <c r="C96" s="44" t="s">
        <v>905</v>
      </c>
      <c r="D96" s="47" t="s">
        <v>1270</v>
      </c>
      <c r="E96" s="46" t="s">
        <v>1275</v>
      </c>
      <c r="F96" s="35">
        <v>9802</v>
      </c>
      <c r="G96" s="40">
        <v>9802</v>
      </c>
      <c r="H96" s="35">
        <v>9802</v>
      </c>
      <c r="I96" s="35">
        <f t="shared" si="2"/>
        <v>19604</v>
      </c>
      <c r="J96" s="36">
        <f t="shared" si="3"/>
        <v>1</v>
      </c>
      <c r="K96" s="48" t="s">
        <v>37</v>
      </c>
      <c r="L96" s="48" t="s">
        <v>37</v>
      </c>
      <c r="M96" s="38">
        <v>41455</v>
      </c>
      <c r="N96" s="48" t="s">
        <v>36</v>
      </c>
      <c r="O96" s="35">
        <v>9802</v>
      </c>
      <c r="P96" s="35"/>
      <c r="Q96" s="35"/>
    </row>
    <row r="97" spans="1:17" s="15" customFormat="1" ht="26.25" customHeight="1" x14ac:dyDescent="0.2">
      <c r="A97" s="43" t="s">
        <v>539</v>
      </c>
      <c r="B97" s="46" t="s">
        <v>551</v>
      </c>
      <c r="C97" s="44" t="s">
        <v>554</v>
      </c>
      <c r="D97" s="47">
        <v>4183</v>
      </c>
      <c r="E97" s="46" t="s">
        <v>570</v>
      </c>
      <c r="F97" s="35">
        <f>10000*3</f>
        <v>30000</v>
      </c>
      <c r="G97" s="40">
        <f>10000*3</f>
        <v>30000</v>
      </c>
      <c r="H97" s="35">
        <v>0</v>
      </c>
      <c r="I97" s="35">
        <f t="shared" si="2"/>
        <v>30000</v>
      </c>
      <c r="J97" s="36">
        <f t="shared" si="3"/>
        <v>0</v>
      </c>
      <c r="K97" s="48" t="s">
        <v>37</v>
      </c>
      <c r="L97" s="48" t="s">
        <v>37</v>
      </c>
      <c r="M97" s="38">
        <v>41455</v>
      </c>
      <c r="N97" s="48" t="s">
        <v>64</v>
      </c>
      <c r="O97" s="41">
        <v>10000</v>
      </c>
      <c r="P97" s="41">
        <v>10000</v>
      </c>
      <c r="Q97" s="41">
        <v>10000</v>
      </c>
    </row>
    <row r="98" spans="1:17" s="15" customFormat="1" ht="26.25" customHeight="1" x14ac:dyDescent="0.2">
      <c r="A98" s="43" t="s">
        <v>145</v>
      </c>
      <c r="B98" s="46" t="s">
        <v>20</v>
      </c>
      <c r="C98" s="44" t="s">
        <v>203</v>
      </c>
      <c r="D98" s="34">
        <v>3791</v>
      </c>
      <c r="E98" s="46" t="s">
        <v>174</v>
      </c>
      <c r="F98" s="35">
        <f>12000*3</f>
        <v>36000</v>
      </c>
      <c r="G98" s="40">
        <f>12000*3</f>
        <v>36000</v>
      </c>
      <c r="H98" s="35">
        <v>0</v>
      </c>
      <c r="I98" s="35">
        <f t="shared" si="2"/>
        <v>36000</v>
      </c>
      <c r="J98" s="36">
        <f t="shared" si="3"/>
        <v>0</v>
      </c>
      <c r="K98" s="48" t="s">
        <v>37</v>
      </c>
      <c r="L98" s="48" t="s">
        <v>37</v>
      </c>
      <c r="M98" s="38">
        <v>41455</v>
      </c>
      <c r="N98" s="48" t="s">
        <v>64</v>
      </c>
      <c r="O98" s="41">
        <v>12000</v>
      </c>
      <c r="P98" s="41">
        <v>12000</v>
      </c>
      <c r="Q98" s="41">
        <v>12000</v>
      </c>
    </row>
    <row r="99" spans="1:17" s="15" customFormat="1" ht="26.25" customHeight="1" x14ac:dyDescent="0.2">
      <c r="A99" s="43" t="s">
        <v>540</v>
      </c>
      <c r="B99" s="46" t="s">
        <v>551</v>
      </c>
      <c r="C99" s="44" t="s">
        <v>555</v>
      </c>
      <c r="D99" s="47">
        <v>4182</v>
      </c>
      <c r="E99" s="46" t="s">
        <v>570</v>
      </c>
      <c r="F99" s="35">
        <f>10000*3</f>
        <v>30000</v>
      </c>
      <c r="G99" s="40">
        <f>10000*3</f>
        <v>30000</v>
      </c>
      <c r="H99" s="35">
        <v>0</v>
      </c>
      <c r="I99" s="35">
        <f t="shared" si="2"/>
        <v>30000</v>
      </c>
      <c r="J99" s="36">
        <f t="shared" si="3"/>
        <v>0</v>
      </c>
      <c r="K99" s="48" t="s">
        <v>37</v>
      </c>
      <c r="L99" s="48" t="s">
        <v>37</v>
      </c>
      <c r="M99" s="38">
        <v>41455</v>
      </c>
      <c r="N99" s="48" t="s">
        <v>64</v>
      </c>
      <c r="O99" s="41">
        <v>10000</v>
      </c>
      <c r="P99" s="41">
        <v>10000</v>
      </c>
      <c r="Q99" s="41">
        <v>10000</v>
      </c>
    </row>
    <row r="100" spans="1:17" s="15" customFormat="1" ht="26.25" customHeight="1" x14ac:dyDescent="0.2">
      <c r="A100" s="43" t="s">
        <v>1063</v>
      </c>
      <c r="B100" s="46" t="s">
        <v>21</v>
      </c>
      <c r="C100" s="44" t="s">
        <v>1069</v>
      </c>
      <c r="D100" s="34">
        <v>5349</v>
      </c>
      <c r="E100" s="46" t="s">
        <v>1076</v>
      </c>
      <c r="F100" s="35">
        <v>40385</v>
      </c>
      <c r="G100" s="40">
        <v>40385</v>
      </c>
      <c r="H100" s="35">
        <v>0</v>
      </c>
      <c r="I100" s="35">
        <f t="shared" si="2"/>
        <v>40385</v>
      </c>
      <c r="J100" s="36">
        <f t="shared" si="3"/>
        <v>0</v>
      </c>
      <c r="K100" s="48" t="s">
        <v>37</v>
      </c>
      <c r="L100" s="48" t="s">
        <v>37</v>
      </c>
      <c r="M100" s="38">
        <v>41362</v>
      </c>
      <c r="N100" s="48"/>
      <c r="O100" s="35">
        <v>40385</v>
      </c>
      <c r="P100" s="35"/>
      <c r="Q100" s="35"/>
    </row>
    <row r="101" spans="1:17" s="15" customFormat="1" ht="26.25" customHeight="1" x14ac:dyDescent="0.2">
      <c r="A101" s="43" t="s">
        <v>1004</v>
      </c>
      <c r="B101" s="46" t="s">
        <v>48</v>
      </c>
      <c r="C101" s="44" t="s">
        <v>1010</v>
      </c>
      <c r="D101" s="34">
        <v>5268</v>
      </c>
      <c r="E101" s="46" t="s">
        <v>1014</v>
      </c>
      <c r="F101" s="35">
        <v>46086</v>
      </c>
      <c r="G101" s="40">
        <v>46086</v>
      </c>
      <c r="H101" s="35">
        <v>0</v>
      </c>
      <c r="I101" s="35">
        <f t="shared" si="2"/>
        <v>46086</v>
      </c>
      <c r="J101" s="36">
        <f t="shared" si="3"/>
        <v>0</v>
      </c>
      <c r="K101" s="48" t="s">
        <v>37</v>
      </c>
      <c r="L101" s="48" t="s">
        <v>37</v>
      </c>
      <c r="M101" s="38">
        <v>41364</v>
      </c>
      <c r="N101" s="48"/>
      <c r="O101" s="35">
        <v>46086</v>
      </c>
      <c r="P101" s="35"/>
      <c r="Q101" s="35"/>
    </row>
    <row r="102" spans="1:17" s="15" customFormat="1" ht="26.25" customHeight="1" x14ac:dyDescent="0.2">
      <c r="A102" s="43" t="s">
        <v>1249</v>
      </c>
      <c r="B102" s="46" t="s">
        <v>48</v>
      </c>
      <c r="C102" s="44" t="s">
        <v>1010</v>
      </c>
      <c r="D102" s="47">
        <v>5807</v>
      </c>
      <c r="E102" s="46" t="s">
        <v>1240</v>
      </c>
      <c r="F102" s="35">
        <v>9500</v>
      </c>
      <c r="G102" s="40">
        <v>9500</v>
      </c>
      <c r="H102" s="35">
        <v>0</v>
      </c>
      <c r="I102" s="35">
        <f t="shared" si="2"/>
        <v>9500</v>
      </c>
      <c r="J102" s="36">
        <f t="shared" si="3"/>
        <v>0</v>
      </c>
      <c r="K102" s="48" t="s">
        <v>37</v>
      </c>
      <c r="L102" s="48" t="s">
        <v>37</v>
      </c>
      <c r="M102" s="38">
        <v>41384</v>
      </c>
      <c r="N102" s="48"/>
      <c r="O102" s="35">
        <v>9500</v>
      </c>
      <c r="P102" s="35"/>
      <c r="Q102" s="35"/>
    </row>
    <row r="103" spans="1:17" s="15" customFormat="1" ht="38.25" customHeight="1" x14ac:dyDescent="0.2">
      <c r="A103" s="43" t="s">
        <v>1322</v>
      </c>
      <c r="B103" s="46" t="s">
        <v>48</v>
      </c>
      <c r="C103" s="44" t="s">
        <v>1010</v>
      </c>
      <c r="D103" s="47">
        <v>6113</v>
      </c>
      <c r="E103" s="46" t="s">
        <v>1334</v>
      </c>
      <c r="F103" s="35">
        <v>13000</v>
      </c>
      <c r="G103" s="40">
        <v>13000</v>
      </c>
      <c r="H103" s="35">
        <v>0</v>
      </c>
      <c r="I103" s="35">
        <f t="shared" si="2"/>
        <v>13000</v>
      </c>
      <c r="J103" s="36">
        <f t="shared" si="3"/>
        <v>0</v>
      </c>
      <c r="K103" s="48" t="s">
        <v>37</v>
      </c>
      <c r="L103" s="48" t="s">
        <v>37</v>
      </c>
      <c r="M103" s="38">
        <v>41406</v>
      </c>
      <c r="N103" s="48"/>
      <c r="O103" s="35">
        <v>13000</v>
      </c>
      <c r="P103" s="35"/>
      <c r="Q103" s="35"/>
    </row>
    <row r="104" spans="1:17" s="15" customFormat="1" ht="26.25" customHeight="1" x14ac:dyDescent="0.2">
      <c r="A104" s="43" t="s">
        <v>258</v>
      </c>
      <c r="B104" s="46" t="s">
        <v>125</v>
      </c>
      <c r="C104" s="44" t="s">
        <v>289</v>
      </c>
      <c r="D104" s="47" t="s">
        <v>294</v>
      </c>
      <c r="E104" s="46" t="s">
        <v>274</v>
      </c>
      <c r="F104" s="35">
        <v>45000</v>
      </c>
      <c r="G104" s="40">
        <v>39400</v>
      </c>
      <c r="H104" s="35">
        <f>45000+90000+50000+45000</f>
        <v>230000</v>
      </c>
      <c r="I104" s="35">
        <f t="shared" si="2"/>
        <v>269400</v>
      </c>
      <c r="J104" s="36">
        <f t="shared" si="3"/>
        <v>5.8375634517766501</v>
      </c>
      <c r="K104" s="48" t="s">
        <v>37</v>
      </c>
      <c r="L104" s="48" t="s">
        <v>37</v>
      </c>
      <c r="M104" s="38">
        <v>41090</v>
      </c>
      <c r="N104" s="48" t="s">
        <v>36</v>
      </c>
      <c r="O104" s="41">
        <v>45000</v>
      </c>
      <c r="P104" s="41"/>
      <c r="Q104" s="41"/>
    </row>
    <row r="105" spans="1:17" s="15" customFormat="1" ht="26.25" customHeight="1" x14ac:dyDescent="0.2">
      <c r="A105" s="43" t="s">
        <v>599</v>
      </c>
      <c r="B105" s="46" t="s">
        <v>80</v>
      </c>
      <c r="C105" s="44" t="s">
        <v>289</v>
      </c>
      <c r="D105" s="34">
        <v>4577</v>
      </c>
      <c r="E105" s="46" t="s">
        <v>662</v>
      </c>
      <c r="F105" s="35">
        <f>25000*2</f>
        <v>50000</v>
      </c>
      <c r="G105" s="40">
        <f>25000*2</f>
        <v>50000</v>
      </c>
      <c r="H105" s="35">
        <v>0</v>
      </c>
      <c r="I105" s="35">
        <f t="shared" si="2"/>
        <v>50000</v>
      </c>
      <c r="J105" s="36">
        <f t="shared" si="3"/>
        <v>0</v>
      </c>
      <c r="K105" s="48" t="s">
        <v>37</v>
      </c>
      <c r="L105" s="48" t="s">
        <v>37</v>
      </c>
      <c r="M105" s="38">
        <v>41455</v>
      </c>
      <c r="N105" s="48" t="s">
        <v>64</v>
      </c>
      <c r="O105" s="35">
        <v>25000</v>
      </c>
      <c r="P105" s="35">
        <v>25000</v>
      </c>
      <c r="Q105" s="35"/>
    </row>
    <row r="106" spans="1:17" s="15" customFormat="1" ht="26.25" customHeight="1" x14ac:dyDescent="0.2">
      <c r="A106" s="43" t="s">
        <v>219</v>
      </c>
      <c r="B106" s="46" t="s">
        <v>46</v>
      </c>
      <c r="C106" s="44" t="s">
        <v>117</v>
      </c>
      <c r="D106" s="34">
        <v>4202</v>
      </c>
      <c r="E106" s="46" t="s">
        <v>237</v>
      </c>
      <c r="F106" s="35">
        <v>22890</v>
      </c>
      <c r="G106" s="40">
        <v>22890</v>
      </c>
      <c r="H106" s="35">
        <v>0</v>
      </c>
      <c r="I106" s="35">
        <f t="shared" si="2"/>
        <v>22890</v>
      </c>
      <c r="J106" s="36">
        <f t="shared" si="3"/>
        <v>0</v>
      </c>
      <c r="K106" s="48" t="s">
        <v>37</v>
      </c>
      <c r="L106" s="48" t="s">
        <v>42</v>
      </c>
      <c r="M106" s="38">
        <v>41182</v>
      </c>
      <c r="N106" s="37"/>
      <c r="O106" s="41">
        <v>22890</v>
      </c>
      <c r="P106" s="41"/>
      <c r="Q106" s="41"/>
    </row>
    <row r="107" spans="1:17" s="15" customFormat="1" ht="26.25" customHeight="1" x14ac:dyDescent="0.2">
      <c r="A107" s="43" t="s">
        <v>220</v>
      </c>
      <c r="B107" s="46" t="s">
        <v>46</v>
      </c>
      <c r="C107" s="44" t="s">
        <v>83</v>
      </c>
      <c r="D107" s="34">
        <v>4203</v>
      </c>
      <c r="E107" s="46" t="s">
        <v>238</v>
      </c>
      <c r="F107" s="35">
        <v>9138</v>
      </c>
      <c r="G107" s="40">
        <v>9138</v>
      </c>
      <c r="H107" s="35">
        <v>0</v>
      </c>
      <c r="I107" s="35">
        <f t="shared" si="2"/>
        <v>9138</v>
      </c>
      <c r="J107" s="36">
        <f t="shared" si="3"/>
        <v>0</v>
      </c>
      <c r="K107" s="48" t="s">
        <v>37</v>
      </c>
      <c r="L107" s="48" t="s">
        <v>42</v>
      </c>
      <c r="M107" s="38">
        <v>41182</v>
      </c>
      <c r="N107" s="37"/>
      <c r="O107" s="41">
        <v>9138</v>
      </c>
      <c r="P107" s="41"/>
      <c r="Q107" s="41"/>
    </row>
    <row r="108" spans="1:17" s="15" customFormat="1" ht="26.25" customHeight="1" x14ac:dyDescent="0.2">
      <c r="A108" s="43" t="s">
        <v>745</v>
      </c>
      <c r="B108" s="46" t="s">
        <v>46</v>
      </c>
      <c r="C108" s="44" t="s">
        <v>83</v>
      </c>
      <c r="D108" s="34">
        <v>4887</v>
      </c>
      <c r="E108" s="46" t="s">
        <v>238</v>
      </c>
      <c r="F108" s="35">
        <v>9355</v>
      </c>
      <c r="G108" s="40">
        <v>9355</v>
      </c>
      <c r="H108" s="35">
        <v>0</v>
      </c>
      <c r="I108" s="35">
        <f t="shared" si="2"/>
        <v>9355</v>
      </c>
      <c r="J108" s="36">
        <f t="shared" si="3"/>
        <v>0</v>
      </c>
      <c r="K108" s="48" t="s">
        <v>37</v>
      </c>
      <c r="L108" s="48" t="s">
        <v>42</v>
      </c>
      <c r="M108" s="38">
        <v>41455</v>
      </c>
      <c r="N108" s="37"/>
      <c r="O108" s="35">
        <v>9355</v>
      </c>
      <c r="P108" s="35"/>
      <c r="Q108" s="35"/>
    </row>
    <row r="109" spans="1:17" s="15" customFormat="1" ht="26.25" customHeight="1" x14ac:dyDescent="0.2">
      <c r="A109" s="43" t="s">
        <v>391</v>
      </c>
      <c r="B109" s="46" t="s">
        <v>39</v>
      </c>
      <c r="C109" s="44" t="s">
        <v>406</v>
      </c>
      <c r="D109" s="34">
        <v>4302</v>
      </c>
      <c r="E109" s="46" t="s">
        <v>422</v>
      </c>
      <c r="F109" s="35">
        <f>20000*3</f>
        <v>60000</v>
      </c>
      <c r="G109" s="40">
        <f>20000*3</f>
        <v>60000</v>
      </c>
      <c r="H109" s="35">
        <v>0</v>
      </c>
      <c r="I109" s="35">
        <f t="shared" si="2"/>
        <v>60000</v>
      </c>
      <c r="J109" s="36">
        <f t="shared" si="3"/>
        <v>0</v>
      </c>
      <c r="K109" s="48" t="s">
        <v>37</v>
      </c>
      <c r="L109" s="48" t="s">
        <v>37</v>
      </c>
      <c r="M109" s="38">
        <v>41441</v>
      </c>
      <c r="N109" s="48" t="s">
        <v>64</v>
      </c>
      <c r="O109" s="41">
        <v>20000</v>
      </c>
      <c r="P109" s="41">
        <v>20000</v>
      </c>
      <c r="Q109" s="41">
        <v>20000</v>
      </c>
    </row>
    <row r="110" spans="1:17" s="15" customFormat="1" ht="26.25" customHeight="1" x14ac:dyDescent="0.2">
      <c r="A110" s="43" t="s">
        <v>1191</v>
      </c>
      <c r="B110" s="46" t="s">
        <v>46</v>
      </c>
      <c r="C110" s="44" t="s">
        <v>1196</v>
      </c>
      <c r="D110" s="34">
        <v>5746</v>
      </c>
      <c r="E110" s="46" t="s">
        <v>1206</v>
      </c>
      <c r="F110" s="35">
        <v>9196</v>
      </c>
      <c r="G110" s="40">
        <v>9196</v>
      </c>
      <c r="H110" s="35">
        <v>0</v>
      </c>
      <c r="I110" s="35">
        <f t="shared" si="2"/>
        <v>9196</v>
      </c>
      <c r="J110" s="36">
        <f t="shared" si="3"/>
        <v>0</v>
      </c>
      <c r="K110" s="48" t="s">
        <v>37</v>
      </c>
      <c r="L110" s="48" t="s">
        <v>42</v>
      </c>
      <c r="M110" s="38">
        <v>41455</v>
      </c>
      <c r="N110" s="48"/>
      <c r="O110" s="35">
        <v>9196</v>
      </c>
      <c r="P110" s="35"/>
      <c r="Q110" s="35"/>
    </row>
    <row r="111" spans="1:17" s="15" customFormat="1" ht="26.25" customHeight="1" x14ac:dyDescent="0.2">
      <c r="A111" s="43" t="s">
        <v>226</v>
      </c>
      <c r="B111" s="46" t="s">
        <v>39</v>
      </c>
      <c r="C111" s="44" t="s">
        <v>234</v>
      </c>
      <c r="D111" s="34">
        <v>4220</v>
      </c>
      <c r="E111" s="46" t="s">
        <v>244</v>
      </c>
      <c r="F111" s="35">
        <f>18529*3</f>
        <v>55587</v>
      </c>
      <c r="G111" s="40">
        <f>18529*3</f>
        <v>55587</v>
      </c>
      <c r="H111" s="35">
        <v>0</v>
      </c>
      <c r="I111" s="35">
        <f t="shared" si="2"/>
        <v>55587</v>
      </c>
      <c r="J111" s="36">
        <f t="shared" si="3"/>
        <v>0</v>
      </c>
      <c r="K111" s="48" t="s">
        <v>37</v>
      </c>
      <c r="L111" s="48" t="s">
        <v>37</v>
      </c>
      <c r="M111" s="38">
        <v>41455</v>
      </c>
      <c r="N111" s="48" t="s">
        <v>64</v>
      </c>
      <c r="O111" s="41">
        <v>18529</v>
      </c>
      <c r="P111" s="41">
        <v>18529</v>
      </c>
      <c r="Q111" s="41">
        <v>18529</v>
      </c>
    </row>
    <row r="112" spans="1:17" s="15" customFormat="1" ht="26.25" customHeight="1" x14ac:dyDescent="0.2">
      <c r="A112" s="43" t="s">
        <v>1289</v>
      </c>
      <c r="B112" s="46" t="s">
        <v>67</v>
      </c>
      <c r="C112" s="44" t="s">
        <v>1301</v>
      </c>
      <c r="D112" s="47">
        <v>5944</v>
      </c>
      <c r="E112" s="46" t="s">
        <v>1316</v>
      </c>
      <c r="F112" s="35">
        <f>27250*3</f>
        <v>81750</v>
      </c>
      <c r="G112" s="40">
        <f>27250*3</f>
        <v>81750</v>
      </c>
      <c r="H112" s="35">
        <v>0</v>
      </c>
      <c r="I112" s="35">
        <f t="shared" si="2"/>
        <v>81750</v>
      </c>
      <c r="J112" s="36">
        <f t="shared" si="3"/>
        <v>0</v>
      </c>
      <c r="K112" s="48" t="s">
        <v>37</v>
      </c>
      <c r="L112" s="48" t="s">
        <v>42</v>
      </c>
      <c r="M112" s="38">
        <v>41455</v>
      </c>
      <c r="N112" s="48" t="s">
        <v>64</v>
      </c>
      <c r="O112" s="35">
        <v>27250</v>
      </c>
      <c r="P112" s="35">
        <v>27250</v>
      </c>
      <c r="Q112" s="35">
        <v>27250</v>
      </c>
    </row>
    <row r="113" spans="1:18" s="15" customFormat="1" ht="26.25" customHeight="1" x14ac:dyDescent="0.2">
      <c r="A113" s="43" t="s">
        <v>696</v>
      </c>
      <c r="B113" s="46" t="s">
        <v>48</v>
      </c>
      <c r="C113" s="44" t="s">
        <v>711</v>
      </c>
      <c r="D113" s="34">
        <v>4745</v>
      </c>
      <c r="E113" s="46" t="s">
        <v>703</v>
      </c>
      <c r="F113" s="35">
        <v>4500</v>
      </c>
      <c r="G113" s="40">
        <v>4500</v>
      </c>
      <c r="H113" s="35">
        <v>4500</v>
      </c>
      <c r="I113" s="35">
        <f t="shared" si="2"/>
        <v>9000</v>
      </c>
      <c r="J113" s="36">
        <f t="shared" si="3"/>
        <v>1</v>
      </c>
      <c r="K113" s="48" t="s">
        <v>37</v>
      </c>
      <c r="L113" s="48" t="s">
        <v>37</v>
      </c>
      <c r="M113" s="38">
        <v>41274</v>
      </c>
      <c r="N113" s="48" t="s">
        <v>36</v>
      </c>
      <c r="O113" s="35">
        <v>4500</v>
      </c>
      <c r="P113" s="35"/>
      <c r="Q113" s="35"/>
    </row>
    <row r="114" spans="1:18" s="15" customFormat="1" ht="26.25" customHeight="1" x14ac:dyDescent="0.2">
      <c r="A114" s="43" t="s">
        <v>958</v>
      </c>
      <c r="B114" s="46" t="s">
        <v>17</v>
      </c>
      <c r="C114" s="44" t="s">
        <v>968</v>
      </c>
      <c r="D114" s="34">
        <v>5159</v>
      </c>
      <c r="E114" s="46" t="s">
        <v>963</v>
      </c>
      <c r="F114" s="35">
        <v>46900</v>
      </c>
      <c r="G114" s="40">
        <v>702341</v>
      </c>
      <c r="H114" s="35">
        <v>46900</v>
      </c>
      <c r="I114" s="35">
        <f t="shared" si="2"/>
        <v>749241</v>
      </c>
      <c r="J114" s="36">
        <f t="shared" si="3"/>
        <v>6.6776679704018418E-2</v>
      </c>
      <c r="K114" s="48" t="s">
        <v>37</v>
      </c>
      <c r="L114" s="48" t="s">
        <v>37</v>
      </c>
      <c r="M114" s="38">
        <v>41384</v>
      </c>
      <c r="N114" s="48" t="s">
        <v>36</v>
      </c>
      <c r="O114" s="35">
        <v>46900</v>
      </c>
      <c r="P114" s="35"/>
      <c r="Q114" s="35"/>
      <c r="R114" s="57"/>
    </row>
    <row r="115" spans="1:18" s="15" customFormat="1" ht="26.25" customHeight="1" x14ac:dyDescent="0.2">
      <c r="A115" s="43" t="s">
        <v>1257</v>
      </c>
      <c r="B115" s="46" t="s">
        <v>17</v>
      </c>
      <c r="C115" s="44" t="s">
        <v>968</v>
      </c>
      <c r="D115" s="47" t="s">
        <v>1259</v>
      </c>
      <c r="E115" s="46" t="s">
        <v>963</v>
      </c>
      <c r="F115" s="35">
        <v>46900</v>
      </c>
      <c r="G115" s="40">
        <v>702341</v>
      </c>
      <c r="H115" s="35">
        <f>46900+46900</f>
        <v>93800</v>
      </c>
      <c r="I115" s="35">
        <f t="shared" si="2"/>
        <v>796141</v>
      </c>
      <c r="J115" s="36">
        <f t="shared" si="3"/>
        <v>0.13355335940803684</v>
      </c>
      <c r="K115" s="48" t="s">
        <v>37</v>
      </c>
      <c r="L115" s="48" t="s">
        <v>37</v>
      </c>
      <c r="M115" s="38">
        <v>41493</v>
      </c>
      <c r="N115" s="48" t="s">
        <v>36</v>
      </c>
      <c r="O115" s="35">
        <v>46900</v>
      </c>
      <c r="P115" s="35"/>
      <c r="Q115" s="35"/>
    </row>
    <row r="116" spans="1:18" s="15" customFormat="1" ht="26.25" customHeight="1" x14ac:dyDescent="0.2">
      <c r="A116" s="43" t="s">
        <v>890</v>
      </c>
      <c r="B116" s="46" t="s">
        <v>17</v>
      </c>
      <c r="C116" s="44" t="s">
        <v>892</v>
      </c>
      <c r="D116" s="34">
        <v>4071</v>
      </c>
      <c r="E116" s="46" t="s">
        <v>885</v>
      </c>
      <c r="F116" s="35">
        <f>15000*3</f>
        <v>45000</v>
      </c>
      <c r="G116" s="40">
        <f>15000*3</f>
        <v>45000</v>
      </c>
      <c r="H116" s="35">
        <v>0</v>
      </c>
      <c r="I116" s="35">
        <f t="shared" si="2"/>
        <v>45000</v>
      </c>
      <c r="J116" s="36">
        <f t="shared" si="3"/>
        <v>0</v>
      </c>
      <c r="K116" s="48" t="s">
        <v>37</v>
      </c>
      <c r="L116" s="48" t="s">
        <v>37</v>
      </c>
      <c r="M116" s="38">
        <v>41455</v>
      </c>
      <c r="N116" s="48" t="s">
        <v>64</v>
      </c>
      <c r="O116" s="35">
        <v>15000</v>
      </c>
      <c r="P116" s="35">
        <v>15000</v>
      </c>
      <c r="Q116" s="35">
        <v>15000</v>
      </c>
    </row>
    <row r="117" spans="1:18" s="15" customFormat="1" ht="26.25" customHeight="1" x14ac:dyDescent="0.2">
      <c r="A117" s="43" t="s">
        <v>1089</v>
      </c>
      <c r="B117" s="46" t="s">
        <v>17</v>
      </c>
      <c r="C117" s="44" t="s">
        <v>892</v>
      </c>
      <c r="D117" s="34">
        <v>5418</v>
      </c>
      <c r="E117" s="46" t="s">
        <v>1097</v>
      </c>
      <c r="F117" s="35">
        <f>9000*3</f>
        <v>27000</v>
      </c>
      <c r="G117" s="40">
        <f>9000*3</f>
        <v>27000</v>
      </c>
      <c r="H117" s="35">
        <v>0</v>
      </c>
      <c r="I117" s="35">
        <f t="shared" si="2"/>
        <v>27000</v>
      </c>
      <c r="J117" s="36">
        <f t="shared" si="3"/>
        <v>0</v>
      </c>
      <c r="K117" s="48" t="s">
        <v>37</v>
      </c>
      <c r="L117" s="48" t="s">
        <v>42</v>
      </c>
      <c r="M117" s="38">
        <v>41517</v>
      </c>
      <c r="N117" s="48" t="s">
        <v>64</v>
      </c>
      <c r="O117" s="35">
        <v>9000</v>
      </c>
      <c r="P117" s="35">
        <v>9000</v>
      </c>
      <c r="Q117" s="35">
        <v>9000</v>
      </c>
    </row>
    <row r="118" spans="1:18" s="15" customFormat="1" ht="26.25" customHeight="1" x14ac:dyDescent="0.2">
      <c r="A118" s="43" t="s">
        <v>264</v>
      </c>
      <c r="B118" s="46" t="s">
        <v>92</v>
      </c>
      <c r="C118" s="44" t="s">
        <v>99</v>
      </c>
      <c r="D118" s="47">
        <v>3948</v>
      </c>
      <c r="E118" s="46" t="s">
        <v>278</v>
      </c>
      <c r="F118" s="35">
        <f>80000*3</f>
        <v>240000</v>
      </c>
      <c r="G118" s="40">
        <f>80000*3</f>
        <v>240000</v>
      </c>
      <c r="H118" s="35">
        <v>0</v>
      </c>
      <c r="I118" s="35">
        <f t="shared" si="2"/>
        <v>240000</v>
      </c>
      <c r="J118" s="36">
        <f t="shared" si="3"/>
        <v>0</v>
      </c>
      <c r="K118" s="48" t="s">
        <v>37</v>
      </c>
      <c r="L118" s="48" t="s">
        <v>37</v>
      </c>
      <c r="M118" s="38">
        <v>41455</v>
      </c>
      <c r="N118" s="48" t="s">
        <v>64</v>
      </c>
      <c r="O118" s="41">
        <v>80000</v>
      </c>
      <c r="P118" s="41">
        <v>80000</v>
      </c>
      <c r="Q118" s="41">
        <v>80000</v>
      </c>
    </row>
    <row r="119" spans="1:18" s="15" customFormat="1" ht="38.25" customHeight="1" x14ac:dyDescent="0.2">
      <c r="A119" s="43" t="s">
        <v>1324</v>
      </c>
      <c r="B119" s="46" t="s">
        <v>48</v>
      </c>
      <c r="C119" s="44" t="s">
        <v>1329</v>
      </c>
      <c r="D119" s="47">
        <v>6123</v>
      </c>
      <c r="E119" s="46" t="s">
        <v>1336</v>
      </c>
      <c r="F119" s="35">
        <v>7200</v>
      </c>
      <c r="G119" s="40">
        <v>7200</v>
      </c>
      <c r="H119" s="35">
        <v>0</v>
      </c>
      <c r="I119" s="35">
        <f t="shared" si="2"/>
        <v>7200</v>
      </c>
      <c r="J119" s="36">
        <f t="shared" si="3"/>
        <v>0</v>
      </c>
      <c r="K119" s="48" t="s">
        <v>37</v>
      </c>
      <c r="L119" s="48" t="s">
        <v>37</v>
      </c>
      <c r="M119" s="38">
        <v>41406</v>
      </c>
      <c r="N119" s="48"/>
      <c r="O119" s="35">
        <v>7200</v>
      </c>
      <c r="P119" s="35"/>
      <c r="Q119" s="35"/>
    </row>
    <row r="120" spans="1:18" s="15" customFormat="1" ht="26.25" customHeight="1" x14ac:dyDescent="0.2">
      <c r="A120" s="43" t="s">
        <v>543</v>
      </c>
      <c r="B120" s="46" t="s">
        <v>551</v>
      </c>
      <c r="C120" s="44" t="s">
        <v>557</v>
      </c>
      <c r="D120" s="47">
        <v>4171</v>
      </c>
      <c r="E120" s="46" t="s">
        <v>573</v>
      </c>
      <c r="F120" s="35">
        <f>20000*3</f>
        <v>60000</v>
      </c>
      <c r="G120" s="40">
        <f>20000*3</f>
        <v>60000</v>
      </c>
      <c r="H120" s="35">
        <v>0</v>
      </c>
      <c r="I120" s="35">
        <f t="shared" si="2"/>
        <v>60000</v>
      </c>
      <c r="J120" s="36">
        <f t="shared" si="3"/>
        <v>0</v>
      </c>
      <c r="K120" s="48" t="s">
        <v>37</v>
      </c>
      <c r="L120" s="48" t="s">
        <v>37</v>
      </c>
      <c r="M120" s="38">
        <v>41455</v>
      </c>
      <c r="N120" s="48" t="s">
        <v>64</v>
      </c>
      <c r="O120" s="41">
        <v>20000</v>
      </c>
      <c r="P120" s="41">
        <v>20000</v>
      </c>
      <c r="Q120" s="41">
        <v>20000</v>
      </c>
    </row>
    <row r="121" spans="1:18" s="15" customFormat="1" ht="26.25" customHeight="1" x14ac:dyDescent="0.2">
      <c r="A121" s="43" t="s">
        <v>1125</v>
      </c>
      <c r="B121" s="46" t="s">
        <v>39</v>
      </c>
      <c r="C121" s="44" t="s">
        <v>1129</v>
      </c>
      <c r="D121" s="34">
        <v>5390</v>
      </c>
      <c r="E121" s="46" t="s">
        <v>1130</v>
      </c>
      <c r="F121" s="35">
        <f>61300*3</f>
        <v>183900</v>
      </c>
      <c r="G121" s="40">
        <f>61300*3</f>
        <v>183900</v>
      </c>
      <c r="H121" s="35">
        <v>0</v>
      </c>
      <c r="I121" s="35">
        <f t="shared" si="2"/>
        <v>183900</v>
      </c>
      <c r="J121" s="36">
        <f t="shared" si="3"/>
        <v>0</v>
      </c>
      <c r="K121" s="48" t="s">
        <v>37</v>
      </c>
      <c r="L121" s="48" t="s">
        <v>37</v>
      </c>
      <c r="M121" s="38">
        <v>41704</v>
      </c>
      <c r="N121" s="48" t="s">
        <v>64</v>
      </c>
      <c r="O121" s="35">
        <v>61300</v>
      </c>
      <c r="P121" s="35">
        <v>61300</v>
      </c>
      <c r="Q121" s="35">
        <v>61300</v>
      </c>
    </row>
    <row r="122" spans="1:18" s="15" customFormat="1" ht="26.25" customHeight="1" x14ac:dyDescent="0.2">
      <c r="A122" s="43" t="s">
        <v>132</v>
      </c>
      <c r="B122" s="46" t="s">
        <v>124</v>
      </c>
      <c r="C122" s="44" t="s">
        <v>140</v>
      </c>
      <c r="D122" s="39">
        <v>3873</v>
      </c>
      <c r="E122" s="46" t="s">
        <v>136</v>
      </c>
      <c r="F122" s="35">
        <v>96200</v>
      </c>
      <c r="G122" s="40">
        <v>96200</v>
      </c>
      <c r="H122" s="35">
        <v>0</v>
      </c>
      <c r="I122" s="35">
        <f t="shared" si="2"/>
        <v>96200</v>
      </c>
      <c r="J122" s="36">
        <f t="shared" si="3"/>
        <v>0</v>
      </c>
      <c r="K122" s="48" t="s">
        <v>37</v>
      </c>
      <c r="L122" s="48" t="s">
        <v>37</v>
      </c>
      <c r="M122" s="38">
        <v>41455</v>
      </c>
      <c r="N122" s="37"/>
      <c r="O122" s="41">
        <v>96200</v>
      </c>
      <c r="P122" s="41"/>
      <c r="Q122" s="41"/>
    </row>
    <row r="123" spans="1:18" s="15" customFormat="1" ht="26.25" customHeight="1" x14ac:dyDescent="0.2">
      <c r="A123" s="43" t="s">
        <v>254</v>
      </c>
      <c r="B123" s="46" t="s">
        <v>46</v>
      </c>
      <c r="C123" s="44" t="s">
        <v>140</v>
      </c>
      <c r="D123" s="34">
        <v>3984</v>
      </c>
      <c r="E123" s="46" t="s">
        <v>270</v>
      </c>
      <c r="F123" s="35">
        <v>53500</v>
      </c>
      <c r="G123" s="40">
        <v>53500</v>
      </c>
      <c r="H123" s="35">
        <v>0</v>
      </c>
      <c r="I123" s="35">
        <f t="shared" si="2"/>
        <v>53500</v>
      </c>
      <c r="J123" s="36">
        <f t="shared" si="3"/>
        <v>0</v>
      </c>
      <c r="K123" s="48" t="s">
        <v>37</v>
      </c>
      <c r="L123" s="48" t="s">
        <v>37</v>
      </c>
      <c r="M123" s="38">
        <v>41274</v>
      </c>
      <c r="N123" s="37"/>
      <c r="O123" s="41">
        <v>53500</v>
      </c>
      <c r="P123" s="41"/>
      <c r="Q123" s="41"/>
    </row>
    <row r="124" spans="1:18" s="15" customFormat="1" ht="26.25" customHeight="1" x14ac:dyDescent="0.2">
      <c r="A124" s="43" t="s">
        <v>811</v>
      </c>
      <c r="B124" s="46" t="s">
        <v>825</v>
      </c>
      <c r="C124" s="44" t="s">
        <v>835</v>
      </c>
      <c r="D124" s="34">
        <v>4102</v>
      </c>
      <c r="E124" s="46" t="s">
        <v>857</v>
      </c>
      <c r="F124" s="35">
        <f>15000*3</f>
        <v>45000</v>
      </c>
      <c r="G124" s="40">
        <f>15000*3</f>
        <v>45000</v>
      </c>
      <c r="H124" s="35">
        <v>0</v>
      </c>
      <c r="I124" s="35">
        <f t="shared" si="2"/>
        <v>45000</v>
      </c>
      <c r="J124" s="36">
        <f t="shared" si="3"/>
        <v>0</v>
      </c>
      <c r="K124" s="48" t="s">
        <v>37</v>
      </c>
      <c r="L124" s="48" t="s">
        <v>37</v>
      </c>
      <c r="M124" s="38">
        <v>41455</v>
      </c>
      <c r="N124" s="48" t="s">
        <v>64</v>
      </c>
      <c r="O124" s="35">
        <v>15000</v>
      </c>
      <c r="P124" s="35">
        <v>15000</v>
      </c>
      <c r="Q124" s="35">
        <v>15000</v>
      </c>
    </row>
    <row r="125" spans="1:18" s="15" customFormat="1" ht="18" customHeight="1" x14ac:dyDescent="0.2">
      <c r="A125" s="43" t="s">
        <v>154</v>
      </c>
      <c r="B125" s="46" t="s">
        <v>17</v>
      </c>
      <c r="C125" s="44" t="s">
        <v>93</v>
      </c>
      <c r="D125" s="47">
        <v>3940</v>
      </c>
      <c r="E125" s="46" t="s">
        <v>182</v>
      </c>
      <c r="F125" s="35">
        <f>25000*3</f>
        <v>75000</v>
      </c>
      <c r="G125" s="40">
        <f>25000*3</f>
        <v>75000</v>
      </c>
      <c r="H125" s="35">
        <v>0</v>
      </c>
      <c r="I125" s="35">
        <f t="shared" si="2"/>
        <v>75000</v>
      </c>
      <c r="J125" s="36">
        <f t="shared" si="3"/>
        <v>0</v>
      </c>
      <c r="K125" s="48" t="s">
        <v>37</v>
      </c>
      <c r="L125" s="48" t="s">
        <v>37</v>
      </c>
      <c r="M125" s="38">
        <v>41455</v>
      </c>
      <c r="N125" s="48" t="s">
        <v>64</v>
      </c>
      <c r="O125" s="41">
        <v>25000</v>
      </c>
      <c r="P125" s="41">
        <v>25000</v>
      </c>
      <c r="Q125" s="41">
        <v>25000</v>
      </c>
    </row>
    <row r="126" spans="1:18" s="15" customFormat="1" ht="26.25" customHeight="1" x14ac:dyDescent="0.2">
      <c r="A126" s="43" t="s">
        <v>1080</v>
      </c>
      <c r="B126" s="46" t="s">
        <v>17</v>
      </c>
      <c r="C126" s="44" t="s">
        <v>1083</v>
      </c>
      <c r="D126" s="34">
        <v>4813</v>
      </c>
      <c r="E126" s="46" t="s">
        <v>1229</v>
      </c>
      <c r="F126" s="35">
        <f>94991*3</f>
        <v>284973</v>
      </c>
      <c r="G126" s="40">
        <f>94991*3</f>
        <v>284973</v>
      </c>
      <c r="H126" s="35">
        <v>0</v>
      </c>
      <c r="I126" s="35">
        <f t="shared" si="2"/>
        <v>284973</v>
      </c>
      <c r="J126" s="36">
        <f t="shared" si="3"/>
        <v>0</v>
      </c>
      <c r="K126" s="48" t="s">
        <v>42</v>
      </c>
      <c r="L126" s="48" t="s">
        <v>37</v>
      </c>
      <c r="M126" s="38">
        <v>41639</v>
      </c>
      <c r="N126" s="48" t="s">
        <v>64</v>
      </c>
      <c r="O126" s="35">
        <v>94991</v>
      </c>
      <c r="P126" s="35">
        <v>94991</v>
      </c>
      <c r="Q126" s="35">
        <v>94991</v>
      </c>
    </row>
    <row r="127" spans="1:18" s="15" customFormat="1" ht="26.25" customHeight="1" x14ac:dyDescent="0.2">
      <c r="A127" s="43" t="s">
        <v>1192</v>
      </c>
      <c r="B127" s="46" t="s">
        <v>20</v>
      </c>
      <c r="C127" s="44" t="s">
        <v>1197</v>
      </c>
      <c r="D127" s="34">
        <v>3836</v>
      </c>
      <c r="E127" s="46" t="s">
        <v>1230</v>
      </c>
      <c r="F127" s="35">
        <f>15000*3</f>
        <v>45000</v>
      </c>
      <c r="G127" s="40">
        <f>15000*3</f>
        <v>45000</v>
      </c>
      <c r="H127" s="35">
        <v>0</v>
      </c>
      <c r="I127" s="35">
        <f t="shared" si="2"/>
        <v>45000</v>
      </c>
      <c r="J127" s="36">
        <f t="shared" si="3"/>
        <v>0</v>
      </c>
      <c r="K127" s="48" t="s">
        <v>37</v>
      </c>
      <c r="L127" s="48" t="s">
        <v>37</v>
      </c>
      <c r="M127" s="38">
        <v>41698</v>
      </c>
      <c r="N127" s="48" t="s">
        <v>64</v>
      </c>
      <c r="O127" s="35">
        <v>15000</v>
      </c>
      <c r="P127" s="35">
        <v>15000</v>
      </c>
      <c r="Q127" s="35">
        <v>15000</v>
      </c>
    </row>
    <row r="128" spans="1:18" s="15" customFormat="1" ht="18" customHeight="1" x14ac:dyDescent="0.2">
      <c r="A128" s="43" t="s">
        <v>478</v>
      </c>
      <c r="B128" s="46" t="s">
        <v>39</v>
      </c>
      <c r="C128" s="44" t="s">
        <v>84</v>
      </c>
      <c r="D128" s="47">
        <v>4377</v>
      </c>
      <c r="E128" s="46" t="s">
        <v>504</v>
      </c>
      <c r="F128" s="35">
        <f>15000*3</f>
        <v>45000</v>
      </c>
      <c r="G128" s="40">
        <f>15000*3</f>
        <v>45000</v>
      </c>
      <c r="H128" s="35">
        <v>0</v>
      </c>
      <c r="I128" s="35">
        <f t="shared" si="2"/>
        <v>45000</v>
      </c>
      <c r="J128" s="36">
        <f t="shared" si="3"/>
        <v>0</v>
      </c>
      <c r="K128" s="48" t="s">
        <v>37</v>
      </c>
      <c r="L128" s="48" t="s">
        <v>37</v>
      </c>
      <c r="M128" s="38">
        <v>41455</v>
      </c>
      <c r="N128" s="48" t="s">
        <v>64</v>
      </c>
      <c r="O128" s="41">
        <v>15000</v>
      </c>
      <c r="P128" s="41">
        <v>15000</v>
      </c>
      <c r="Q128" s="41">
        <v>15000</v>
      </c>
    </row>
    <row r="129" spans="1:17" s="15" customFormat="1" ht="18" customHeight="1" x14ac:dyDescent="0.2">
      <c r="A129" s="43" t="s">
        <v>443</v>
      </c>
      <c r="B129" s="46" t="s">
        <v>39</v>
      </c>
      <c r="C129" s="44" t="s">
        <v>91</v>
      </c>
      <c r="D129" s="47">
        <v>4318</v>
      </c>
      <c r="E129" s="46" t="s">
        <v>469</v>
      </c>
      <c r="F129" s="35">
        <f>13970+14500+15000</f>
        <v>43470</v>
      </c>
      <c r="G129" s="40">
        <f>13970+14500+15000</f>
        <v>43470</v>
      </c>
      <c r="H129" s="35">
        <v>0</v>
      </c>
      <c r="I129" s="35">
        <f t="shared" si="2"/>
        <v>43470</v>
      </c>
      <c r="J129" s="36">
        <f t="shared" si="3"/>
        <v>0</v>
      </c>
      <c r="K129" s="48" t="s">
        <v>37</v>
      </c>
      <c r="L129" s="48" t="s">
        <v>37</v>
      </c>
      <c r="M129" s="38">
        <v>41425</v>
      </c>
      <c r="N129" s="48" t="s">
        <v>64</v>
      </c>
      <c r="O129" s="41">
        <v>13970</v>
      </c>
      <c r="P129" s="41">
        <v>14500</v>
      </c>
      <c r="Q129" s="41">
        <v>15000</v>
      </c>
    </row>
    <row r="130" spans="1:17" s="15" customFormat="1" ht="26.25" customHeight="1" x14ac:dyDescent="0.2">
      <c r="A130" s="43" t="s">
        <v>548</v>
      </c>
      <c r="B130" s="46" t="s">
        <v>66</v>
      </c>
      <c r="C130" s="44" t="s">
        <v>68</v>
      </c>
      <c r="D130" s="47">
        <v>4509</v>
      </c>
      <c r="E130" s="46" t="s">
        <v>578</v>
      </c>
      <c r="F130" s="35">
        <v>15093</v>
      </c>
      <c r="G130" s="40">
        <v>15093</v>
      </c>
      <c r="H130" s="35">
        <v>0</v>
      </c>
      <c r="I130" s="35">
        <f t="shared" ref="I130:I191" si="4">G130+H130</f>
        <v>15093</v>
      </c>
      <c r="J130" s="36">
        <f t="shared" ref="J130:J191" si="5">IF(G130=0,100%,(I130-G130)/G130)</f>
        <v>0</v>
      </c>
      <c r="K130" s="48" t="s">
        <v>37</v>
      </c>
      <c r="L130" s="48" t="s">
        <v>37</v>
      </c>
      <c r="M130" s="38">
        <v>41517</v>
      </c>
      <c r="N130" s="48"/>
      <c r="O130" s="41">
        <v>15093</v>
      </c>
      <c r="P130" s="41"/>
      <c r="Q130" s="41"/>
    </row>
    <row r="131" spans="1:17" s="15" customFormat="1" ht="26.25" customHeight="1" x14ac:dyDescent="0.2">
      <c r="A131" s="43" t="s">
        <v>173</v>
      </c>
      <c r="B131" s="46" t="s">
        <v>50</v>
      </c>
      <c r="C131" s="44" t="s">
        <v>217</v>
      </c>
      <c r="D131" s="34">
        <v>4188</v>
      </c>
      <c r="E131" s="46" t="s">
        <v>201</v>
      </c>
      <c r="F131" s="35">
        <v>25135</v>
      </c>
      <c r="G131" s="40">
        <v>25000</v>
      </c>
      <c r="H131" s="35">
        <f>11200+25135</f>
        <v>36335</v>
      </c>
      <c r="I131" s="35">
        <f t="shared" si="4"/>
        <v>61335</v>
      </c>
      <c r="J131" s="36">
        <f t="shared" si="5"/>
        <v>1.4534</v>
      </c>
      <c r="K131" s="48" t="s">
        <v>37</v>
      </c>
      <c r="L131" s="48" t="s">
        <v>37</v>
      </c>
      <c r="M131" s="38">
        <v>41274</v>
      </c>
      <c r="N131" s="48" t="s">
        <v>36</v>
      </c>
      <c r="O131" s="41">
        <v>25135</v>
      </c>
      <c r="P131" s="41"/>
      <c r="Q131" s="41"/>
    </row>
    <row r="132" spans="1:17" s="15" customFormat="1" ht="26.25" customHeight="1" x14ac:dyDescent="0.2">
      <c r="A132" s="43" t="s">
        <v>1132</v>
      </c>
      <c r="B132" s="46" t="s">
        <v>21</v>
      </c>
      <c r="C132" s="44" t="s">
        <v>1137</v>
      </c>
      <c r="D132" s="34">
        <v>5581</v>
      </c>
      <c r="E132" s="46" t="s">
        <v>1139</v>
      </c>
      <c r="F132" s="35">
        <v>16740</v>
      </c>
      <c r="G132" s="40">
        <v>16740</v>
      </c>
      <c r="H132" s="35">
        <v>0</v>
      </c>
      <c r="I132" s="35">
        <f t="shared" si="4"/>
        <v>16740</v>
      </c>
      <c r="J132" s="36">
        <f t="shared" si="5"/>
        <v>0</v>
      </c>
      <c r="K132" s="48" t="s">
        <v>37</v>
      </c>
      <c r="L132" s="48" t="s">
        <v>37</v>
      </c>
      <c r="M132" s="38">
        <v>41362</v>
      </c>
      <c r="N132" s="48"/>
      <c r="O132" s="35">
        <v>16740</v>
      </c>
      <c r="P132" s="35"/>
      <c r="Q132" s="35"/>
    </row>
    <row r="133" spans="1:17" s="15" customFormat="1" ht="26.25" customHeight="1" x14ac:dyDescent="0.2">
      <c r="A133" s="43" t="s">
        <v>166</v>
      </c>
      <c r="B133" s="46" t="s">
        <v>21</v>
      </c>
      <c r="C133" s="44" t="s">
        <v>214</v>
      </c>
      <c r="D133" s="34">
        <v>4146</v>
      </c>
      <c r="E133" s="46" t="s">
        <v>194</v>
      </c>
      <c r="F133" s="35">
        <v>36000</v>
      </c>
      <c r="G133" s="40">
        <v>12000</v>
      </c>
      <c r="H133" s="35">
        <f>10000+36000</f>
        <v>46000</v>
      </c>
      <c r="I133" s="35">
        <f t="shared" si="4"/>
        <v>58000</v>
      </c>
      <c r="J133" s="36">
        <f t="shared" si="5"/>
        <v>3.8333333333333335</v>
      </c>
      <c r="K133" s="48" t="s">
        <v>37</v>
      </c>
      <c r="L133" s="48" t="s">
        <v>37</v>
      </c>
      <c r="M133" s="38">
        <v>41455</v>
      </c>
      <c r="N133" s="48" t="s">
        <v>36</v>
      </c>
      <c r="O133" s="41">
        <v>36000</v>
      </c>
      <c r="P133" s="41"/>
      <c r="Q133" s="41"/>
    </row>
    <row r="134" spans="1:17" s="15" customFormat="1" ht="26.25" customHeight="1" x14ac:dyDescent="0.2">
      <c r="A134" s="43" t="s">
        <v>1185</v>
      </c>
      <c r="B134" s="46" t="s">
        <v>21</v>
      </c>
      <c r="C134" s="44" t="s">
        <v>214</v>
      </c>
      <c r="D134" s="47" t="s">
        <v>1198</v>
      </c>
      <c r="E134" s="46" t="s">
        <v>1200</v>
      </c>
      <c r="F134" s="35">
        <v>9000</v>
      </c>
      <c r="G134" s="40">
        <v>10000</v>
      </c>
      <c r="H134" s="35">
        <f>12000+36000+9000</f>
        <v>57000</v>
      </c>
      <c r="I134" s="35">
        <f t="shared" si="4"/>
        <v>67000</v>
      </c>
      <c r="J134" s="36">
        <f t="shared" si="5"/>
        <v>5.7</v>
      </c>
      <c r="K134" s="48" t="s">
        <v>37</v>
      </c>
      <c r="L134" s="48" t="s">
        <v>37</v>
      </c>
      <c r="M134" s="38">
        <v>41455</v>
      </c>
      <c r="N134" s="48" t="s">
        <v>36</v>
      </c>
      <c r="O134" s="35">
        <v>9000</v>
      </c>
      <c r="P134" s="35"/>
      <c r="Q134" s="35"/>
    </row>
    <row r="135" spans="1:17" s="15" customFormat="1" ht="26.25" customHeight="1" x14ac:dyDescent="0.2">
      <c r="A135" s="43" t="s">
        <v>605</v>
      </c>
      <c r="B135" s="46" t="s">
        <v>39</v>
      </c>
      <c r="C135" s="44" t="s">
        <v>114</v>
      </c>
      <c r="D135" s="34">
        <v>4597</v>
      </c>
      <c r="E135" s="46" t="s">
        <v>625</v>
      </c>
      <c r="F135" s="35">
        <v>99000</v>
      </c>
      <c r="G135" s="40">
        <v>99000</v>
      </c>
      <c r="H135" s="35">
        <v>0</v>
      </c>
      <c r="I135" s="35">
        <f t="shared" si="4"/>
        <v>99000</v>
      </c>
      <c r="J135" s="36">
        <f t="shared" si="5"/>
        <v>0</v>
      </c>
      <c r="K135" s="48" t="s">
        <v>37</v>
      </c>
      <c r="L135" s="48" t="s">
        <v>37</v>
      </c>
      <c r="M135" s="38">
        <v>41455</v>
      </c>
      <c r="N135" s="48"/>
      <c r="O135" s="35">
        <v>99000</v>
      </c>
      <c r="P135" s="35"/>
      <c r="Q135" s="35"/>
    </row>
    <row r="136" spans="1:17" s="15" customFormat="1" ht="26.25" customHeight="1" x14ac:dyDescent="0.2">
      <c r="A136" s="43" t="s">
        <v>1427</v>
      </c>
      <c r="B136" s="46" t="s">
        <v>18</v>
      </c>
      <c r="C136" s="44" t="s">
        <v>1429</v>
      </c>
      <c r="D136" s="47" t="s">
        <v>41</v>
      </c>
      <c r="E136" s="46" t="s">
        <v>1431</v>
      </c>
      <c r="F136" s="35">
        <v>99000</v>
      </c>
      <c r="G136" s="40">
        <v>95000</v>
      </c>
      <c r="H136" s="35">
        <f>215000+99000</f>
        <v>314000</v>
      </c>
      <c r="I136" s="35">
        <f t="shared" si="4"/>
        <v>409000</v>
      </c>
      <c r="J136" s="36">
        <f t="shared" si="5"/>
        <v>3.3052631578947369</v>
      </c>
      <c r="K136" s="48" t="s">
        <v>37</v>
      </c>
      <c r="L136" s="48" t="s">
        <v>37</v>
      </c>
      <c r="M136" s="52" t="s">
        <v>69</v>
      </c>
      <c r="N136" s="48" t="s">
        <v>36</v>
      </c>
      <c r="O136" s="35">
        <v>99000</v>
      </c>
      <c r="P136" s="35"/>
      <c r="Q136" s="35"/>
    </row>
    <row r="137" spans="1:17" s="15" customFormat="1" ht="26.25" customHeight="1" x14ac:dyDescent="0.2">
      <c r="A137" s="43" t="s">
        <v>447</v>
      </c>
      <c r="B137" s="46" t="s">
        <v>39</v>
      </c>
      <c r="C137" s="44" t="s">
        <v>459</v>
      </c>
      <c r="D137" s="47">
        <v>4307</v>
      </c>
      <c r="E137" s="46" t="s">
        <v>473</v>
      </c>
      <c r="F137" s="35">
        <f>30000*3</f>
        <v>90000</v>
      </c>
      <c r="G137" s="40">
        <f>30000*3</f>
        <v>90000</v>
      </c>
      <c r="H137" s="35">
        <v>0</v>
      </c>
      <c r="I137" s="35">
        <f t="shared" si="4"/>
        <v>90000</v>
      </c>
      <c r="J137" s="36">
        <f t="shared" si="5"/>
        <v>0</v>
      </c>
      <c r="K137" s="48" t="s">
        <v>37</v>
      </c>
      <c r="L137" s="48" t="s">
        <v>37</v>
      </c>
      <c r="M137" s="38">
        <v>41425</v>
      </c>
      <c r="N137" s="48" t="s">
        <v>64</v>
      </c>
      <c r="O137" s="41">
        <v>30000</v>
      </c>
      <c r="P137" s="41">
        <v>30000</v>
      </c>
      <c r="Q137" s="41">
        <v>30000</v>
      </c>
    </row>
    <row r="138" spans="1:17" s="15" customFormat="1" ht="26.25" customHeight="1" x14ac:dyDescent="0.2">
      <c r="A138" s="43" t="s">
        <v>1101</v>
      </c>
      <c r="B138" s="46" t="s">
        <v>76</v>
      </c>
      <c r="C138" s="44" t="s">
        <v>1110</v>
      </c>
      <c r="D138" s="34">
        <v>5002</v>
      </c>
      <c r="E138" s="46" t="s">
        <v>1116</v>
      </c>
      <c r="F138" s="35">
        <f>15000*3</f>
        <v>45000</v>
      </c>
      <c r="G138" s="40">
        <f>15000*3</f>
        <v>45000</v>
      </c>
      <c r="H138" s="35">
        <v>0</v>
      </c>
      <c r="I138" s="35">
        <f t="shared" si="4"/>
        <v>45000</v>
      </c>
      <c r="J138" s="36">
        <f t="shared" si="5"/>
        <v>0</v>
      </c>
      <c r="K138" s="48" t="s">
        <v>37</v>
      </c>
      <c r="L138" s="48" t="s">
        <v>37</v>
      </c>
      <c r="M138" s="38">
        <v>41455</v>
      </c>
      <c r="N138" s="48" t="s">
        <v>64</v>
      </c>
      <c r="O138" s="35">
        <v>15000</v>
      </c>
      <c r="P138" s="35">
        <v>15000</v>
      </c>
      <c r="Q138" s="35">
        <v>15000</v>
      </c>
    </row>
    <row r="139" spans="1:17" s="15" customFormat="1" ht="26.25" customHeight="1" x14ac:dyDescent="0.2">
      <c r="A139" s="43" t="s">
        <v>611</v>
      </c>
      <c r="B139" s="46" t="s">
        <v>17</v>
      </c>
      <c r="C139" s="44" t="s">
        <v>620</v>
      </c>
      <c r="D139" s="34">
        <v>4225</v>
      </c>
      <c r="E139" s="46" t="s">
        <v>630</v>
      </c>
      <c r="F139" s="35">
        <v>55296</v>
      </c>
      <c r="G139" s="40">
        <v>55296</v>
      </c>
      <c r="H139" s="35">
        <v>0</v>
      </c>
      <c r="I139" s="35">
        <f t="shared" si="4"/>
        <v>55296</v>
      </c>
      <c r="J139" s="36">
        <f t="shared" si="5"/>
        <v>0</v>
      </c>
      <c r="K139" s="48" t="s">
        <v>37</v>
      </c>
      <c r="L139" s="48" t="s">
        <v>42</v>
      </c>
      <c r="M139" s="38">
        <v>42628</v>
      </c>
      <c r="N139" s="48"/>
      <c r="O139" s="35">
        <v>55296</v>
      </c>
      <c r="P139" s="35"/>
      <c r="Q139" s="35"/>
    </row>
    <row r="140" spans="1:17" s="15" customFormat="1" ht="26.25" customHeight="1" x14ac:dyDescent="0.2">
      <c r="A140" s="43" t="s">
        <v>1087</v>
      </c>
      <c r="B140" s="46" t="s">
        <v>1090</v>
      </c>
      <c r="C140" s="44" t="s">
        <v>1094</v>
      </c>
      <c r="D140" s="34">
        <v>5377</v>
      </c>
      <c r="E140" s="46" t="s">
        <v>1099</v>
      </c>
      <c r="F140" s="35">
        <v>45000</v>
      </c>
      <c r="G140" s="40">
        <v>45000</v>
      </c>
      <c r="H140" s="35">
        <v>0</v>
      </c>
      <c r="I140" s="35">
        <f t="shared" si="4"/>
        <v>45000</v>
      </c>
      <c r="J140" s="36">
        <f t="shared" si="5"/>
        <v>0</v>
      </c>
      <c r="K140" s="48" t="s">
        <v>37</v>
      </c>
      <c r="L140" s="48" t="s">
        <v>37</v>
      </c>
      <c r="M140" s="38">
        <v>41455</v>
      </c>
      <c r="N140" s="48"/>
      <c r="O140" s="35">
        <v>45000</v>
      </c>
      <c r="P140" s="35"/>
      <c r="Q140" s="35"/>
    </row>
    <row r="141" spans="1:17" s="15" customFormat="1" ht="26.25" customHeight="1" x14ac:dyDescent="0.2">
      <c r="A141" s="43" t="s">
        <v>170</v>
      </c>
      <c r="B141" s="46" t="s">
        <v>19</v>
      </c>
      <c r="C141" s="44" t="s">
        <v>215</v>
      </c>
      <c r="D141" s="34">
        <v>4154</v>
      </c>
      <c r="E141" s="46" t="s">
        <v>198</v>
      </c>
      <c r="F141" s="35">
        <f>10000*3</f>
        <v>30000</v>
      </c>
      <c r="G141" s="40">
        <f>10000*3</f>
        <v>30000</v>
      </c>
      <c r="H141" s="35">
        <v>0</v>
      </c>
      <c r="I141" s="35">
        <f t="shared" si="4"/>
        <v>30000</v>
      </c>
      <c r="J141" s="36">
        <f t="shared" si="5"/>
        <v>0</v>
      </c>
      <c r="K141" s="48" t="s">
        <v>37</v>
      </c>
      <c r="L141" s="48" t="s">
        <v>37</v>
      </c>
      <c r="M141" s="38">
        <v>41455</v>
      </c>
      <c r="N141" s="48" t="s">
        <v>64</v>
      </c>
      <c r="O141" s="41">
        <v>10000</v>
      </c>
      <c r="P141" s="41">
        <v>10000</v>
      </c>
      <c r="Q141" s="41">
        <v>10000</v>
      </c>
    </row>
    <row r="142" spans="1:17" s="15" customFormat="1" ht="26.25" customHeight="1" x14ac:dyDescent="0.2">
      <c r="A142" s="43" t="s">
        <v>489</v>
      </c>
      <c r="B142" s="46" t="s">
        <v>17</v>
      </c>
      <c r="C142" s="44" t="s">
        <v>500</v>
      </c>
      <c r="D142" s="47">
        <v>3942</v>
      </c>
      <c r="E142" s="46" t="s">
        <v>515</v>
      </c>
      <c r="F142" s="35">
        <f>15000*3</f>
        <v>45000</v>
      </c>
      <c r="G142" s="40">
        <f>15000*3</f>
        <v>45000</v>
      </c>
      <c r="H142" s="35">
        <v>0</v>
      </c>
      <c r="I142" s="35">
        <f t="shared" si="4"/>
        <v>45000</v>
      </c>
      <c r="J142" s="36">
        <f t="shared" si="5"/>
        <v>0</v>
      </c>
      <c r="K142" s="48" t="s">
        <v>37</v>
      </c>
      <c r="L142" s="48" t="s">
        <v>37</v>
      </c>
      <c r="M142" s="38">
        <v>41455</v>
      </c>
      <c r="N142" s="48" t="s">
        <v>64</v>
      </c>
      <c r="O142" s="41">
        <v>15000</v>
      </c>
      <c r="P142" s="41">
        <v>15000</v>
      </c>
      <c r="Q142" s="41">
        <v>15000</v>
      </c>
    </row>
    <row r="143" spans="1:17" s="15" customFormat="1" ht="26.25" customHeight="1" x14ac:dyDescent="0.2">
      <c r="A143" s="43" t="s">
        <v>683</v>
      </c>
      <c r="B143" s="46" t="s">
        <v>75</v>
      </c>
      <c r="C143" s="44" t="s">
        <v>688</v>
      </c>
      <c r="D143" s="34">
        <v>4679</v>
      </c>
      <c r="E143" s="46" t="s">
        <v>684</v>
      </c>
      <c r="F143" s="35">
        <v>65384</v>
      </c>
      <c r="G143" s="40">
        <v>65384</v>
      </c>
      <c r="H143" s="35">
        <v>0</v>
      </c>
      <c r="I143" s="35">
        <f t="shared" si="4"/>
        <v>65384</v>
      </c>
      <c r="J143" s="36">
        <f t="shared" si="5"/>
        <v>0</v>
      </c>
      <c r="K143" s="48" t="s">
        <v>37</v>
      </c>
      <c r="L143" s="48" t="s">
        <v>42</v>
      </c>
      <c r="M143" s="38">
        <v>41455</v>
      </c>
      <c r="N143" s="37"/>
      <c r="O143" s="35">
        <v>65384</v>
      </c>
      <c r="P143" s="35"/>
      <c r="Q143" s="35"/>
    </row>
    <row r="144" spans="1:17" s="15" customFormat="1" ht="26.25" customHeight="1" x14ac:dyDescent="0.2">
      <c r="A144" s="43" t="s">
        <v>739</v>
      </c>
      <c r="B144" s="46" t="s">
        <v>75</v>
      </c>
      <c r="C144" s="44" t="s">
        <v>688</v>
      </c>
      <c r="D144" s="34">
        <v>4681</v>
      </c>
      <c r="E144" s="46" t="s">
        <v>750</v>
      </c>
      <c r="F144" s="35">
        <v>15000</v>
      </c>
      <c r="G144" s="40">
        <v>15000</v>
      </c>
      <c r="H144" s="35">
        <v>0</v>
      </c>
      <c r="I144" s="35">
        <f t="shared" si="4"/>
        <v>15000</v>
      </c>
      <c r="J144" s="36">
        <f t="shared" si="5"/>
        <v>0</v>
      </c>
      <c r="K144" s="48" t="s">
        <v>37</v>
      </c>
      <c r="L144" s="48" t="s">
        <v>42</v>
      </c>
      <c r="M144" s="38">
        <v>41455</v>
      </c>
      <c r="N144" s="37"/>
      <c r="O144" s="35">
        <v>15000</v>
      </c>
      <c r="P144" s="35"/>
      <c r="Q144" s="35"/>
    </row>
    <row r="145" spans="1:17" s="15" customFormat="1" ht="26.25" customHeight="1" x14ac:dyDescent="0.2">
      <c r="A145" s="43" t="s">
        <v>896</v>
      </c>
      <c r="B145" s="46" t="s">
        <v>903</v>
      </c>
      <c r="C145" s="44" t="s">
        <v>906</v>
      </c>
      <c r="D145" s="34">
        <v>4819</v>
      </c>
      <c r="E145" s="46" t="s">
        <v>912</v>
      </c>
      <c r="F145" s="35">
        <v>47600</v>
      </c>
      <c r="G145" s="40">
        <v>47600</v>
      </c>
      <c r="H145" s="35">
        <v>0</v>
      </c>
      <c r="I145" s="35">
        <f t="shared" si="4"/>
        <v>47600</v>
      </c>
      <c r="J145" s="36">
        <f t="shared" si="5"/>
        <v>0</v>
      </c>
      <c r="K145" s="48" t="s">
        <v>37</v>
      </c>
      <c r="L145" s="48" t="s">
        <v>37</v>
      </c>
      <c r="M145" s="38">
        <v>41274</v>
      </c>
      <c r="N145" s="37"/>
      <c r="O145" s="35">
        <v>47600</v>
      </c>
      <c r="P145" s="35"/>
      <c r="Q145" s="35"/>
    </row>
    <row r="146" spans="1:17" s="15" customFormat="1" ht="26.25" customHeight="1" x14ac:dyDescent="0.2">
      <c r="A146" s="43" t="s">
        <v>936</v>
      </c>
      <c r="B146" s="46" t="s">
        <v>49</v>
      </c>
      <c r="C146" s="44" t="s">
        <v>943</v>
      </c>
      <c r="D146" s="34">
        <v>5055</v>
      </c>
      <c r="E146" s="46" t="s">
        <v>724</v>
      </c>
      <c r="F146" s="35">
        <v>95000</v>
      </c>
      <c r="G146" s="40">
        <v>95000</v>
      </c>
      <c r="H146" s="35">
        <v>0</v>
      </c>
      <c r="I146" s="35">
        <f t="shared" si="4"/>
        <v>95000</v>
      </c>
      <c r="J146" s="36">
        <f t="shared" si="5"/>
        <v>0</v>
      </c>
      <c r="K146" s="48" t="s">
        <v>37</v>
      </c>
      <c r="L146" s="48" t="s">
        <v>42</v>
      </c>
      <c r="M146" s="38">
        <v>41455</v>
      </c>
      <c r="N146" s="37"/>
      <c r="O146" s="35">
        <v>95000</v>
      </c>
      <c r="P146" s="35"/>
      <c r="Q146" s="35"/>
    </row>
    <row r="147" spans="1:17" s="15" customFormat="1" ht="26.25" customHeight="1" x14ac:dyDescent="0.2">
      <c r="A147" s="43" t="s">
        <v>600</v>
      </c>
      <c r="B147" s="46" t="s">
        <v>45</v>
      </c>
      <c r="C147" s="44" t="s">
        <v>51</v>
      </c>
      <c r="D147" s="34">
        <v>3662</v>
      </c>
      <c r="E147" s="46" t="s">
        <v>663</v>
      </c>
      <c r="F147" s="35">
        <f>14796*3</f>
        <v>44388</v>
      </c>
      <c r="G147" s="40">
        <f>14796*3</f>
        <v>44388</v>
      </c>
      <c r="H147" s="35">
        <v>0</v>
      </c>
      <c r="I147" s="35">
        <f t="shared" si="4"/>
        <v>44388</v>
      </c>
      <c r="J147" s="36">
        <f t="shared" si="5"/>
        <v>0</v>
      </c>
      <c r="K147" s="48" t="s">
        <v>37</v>
      </c>
      <c r="L147" s="48" t="s">
        <v>37</v>
      </c>
      <c r="M147" s="38">
        <v>41455</v>
      </c>
      <c r="N147" s="48" t="s">
        <v>64</v>
      </c>
      <c r="O147" s="35">
        <v>14796</v>
      </c>
      <c r="P147" s="35">
        <v>14796</v>
      </c>
      <c r="Q147" s="35">
        <v>14796</v>
      </c>
    </row>
    <row r="148" spans="1:17" s="15" customFormat="1" ht="38.25" customHeight="1" x14ac:dyDescent="0.2">
      <c r="A148" s="43" t="s">
        <v>1388</v>
      </c>
      <c r="B148" s="46" t="s">
        <v>49</v>
      </c>
      <c r="C148" s="44" t="s">
        <v>1395</v>
      </c>
      <c r="D148" s="47">
        <v>6192</v>
      </c>
      <c r="E148" s="46" t="s">
        <v>1404</v>
      </c>
      <c r="F148" s="35">
        <f>45000*3</f>
        <v>135000</v>
      </c>
      <c r="G148" s="40">
        <f>45000*3</f>
        <v>135000</v>
      </c>
      <c r="H148" s="35">
        <v>0</v>
      </c>
      <c r="I148" s="35">
        <f t="shared" si="4"/>
        <v>135000</v>
      </c>
      <c r="J148" s="36">
        <f t="shared" si="5"/>
        <v>0</v>
      </c>
      <c r="K148" s="48" t="s">
        <v>37</v>
      </c>
      <c r="L148" s="48" t="s">
        <v>42</v>
      </c>
      <c r="M148" s="38">
        <v>41820</v>
      </c>
      <c r="N148" s="48" t="s">
        <v>64</v>
      </c>
      <c r="O148" s="35">
        <v>45000</v>
      </c>
      <c r="P148" s="35">
        <v>45000</v>
      </c>
      <c r="Q148" s="35">
        <v>45000</v>
      </c>
    </row>
    <row r="149" spans="1:17" s="15" customFormat="1" ht="26.25" customHeight="1" x14ac:dyDescent="0.2">
      <c r="A149" s="43" t="s">
        <v>1175</v>
      </c>
      <c r="B149" s="46" t="s">
        <v>1176</v>
      </c>
      <c r="C149" s="44" t="s">
        <v>1177</v>
      </c>
      <c r="D149" s="34">
        <v>5629</v>
      </c>
      <c r="E149" s="46" t="s">
        <v>1173</v>
      </c>
      <c r="F149" s="35">
        <v>5460</v>
      </c>
      <c r="G149" s="40">
        <v>5460</v>
      </c>
      <c r="H149" s="35">
        <v>0</v>
      </c>
      <c r="I149" s="35">
        <f t="shared" si="4"/>
        <v>5460</v>
      </c>
      <c r="J149" s="36">
        <f t="shared" si="5"/>
        <v>0</v>
      </c>
      <c r="K149" s="48" t="s">
        <v>37</v>
      </c>
      <c r="L149" s="48" t="s">
        <v>37</v>
      </c>
      <c r="M149" s="38">
        <v>41364</v>
      </c>
      <c r="N149" s="48"/>
      <c r="O149" s="35">
        <v>5460</v>
      </c>
      <c r="P149" s="35"/>
      <c r="Q149" s="35"/>
    </row>
    <row r="150" spans="1:17" s="15" customFormat="1" ht="26.25" customHeight="1" x14ac:dyDescent="0.2">
      <c r="A150" s="43" t="s">
        <v>1222</v>
      </c>
      <c r="B150" s="46" t="s">
        <v>1223</v>
      </c>
      <c r="C150" s="44" t="s">
        <v>1225</v>
      </c>
      <c r="D150" s="47" t="s">
        <v>41</v>
      </c>
      <c r="E150" s="46" t="s">
        <v>1226</v>
      </c>
      <c r="F150" s="35">
        <v>91241</v>
      </c>
      <c r="G150" s="40">
        <v>91241</v>
      </c>
      <c r="H150" s="35">
        <v>0</v>
      </c>
      <c r="I150" s="35">
        <f t="shared" si="4"/>
        <v>91241</v>
      </c>
      <c r="J150" s="36">
        <f t="shared" si="5"/>
        <v>0</v>
      </c>
      <c r="K150" s="48" t="s">
        <v>42</v>
      </c>
      <c r="L150" s="48" t="s">
        <v>42</v>
      </c>
      <c r="M150" s="38">
        <v>42551</v>
      </c>
      <c r="N150" s="48"/>
      <c r="O150" s="35">
        <v>91241</v>
      </c>
      <c r="P150" s="35"/>
      <c r="Q150" s="35"/>
    </row>
    <row r="151" spans="1:17" s="15" customFormat="1" ht="26.25" customHeight="1" x14ac:dyDescent="0.2">
      <c r="A151" s="43" t="s">
        <v>1344</v>
      </c>
      <c r="B151" s="46" t="s">
        <v>1223</v>
      </c>
      <c r="C151" s="44" t="s">
        <v>1225</v>
      </c>
      <c r="D151" s="47">
        <v>5993</v>
      </c>
      <c r="E151" s="46" t="s">
        <v>1354</v>
      </c>
      <c r="F151" s="35">
        <v>17855</v>
      </c>
      <c r="G151" s="40">
        <v>17855</v>
      </c>
      <c r="H151" s="35">
        <v>0</v>
      </c>
      <c r="I151" s="35">
        <f t="shared" si="4"/>
        <v>17855</v>
      </c>
      <c r="J151" s="36">
        <f t="shared" si="5"/>
        <v>0</v>
      </c>
      <c r="K151" s="48" t="s">
        <v>37</v>
      </c>
      <c r="L151" s="48" t="s">
        <v>42</v>
      </c>
      <c r="M151" s="38">
        <v>42551</v>
      </c>
      <c r="N151" s="48"/>
      <c r="O151" s="35">
        <v>17855</v>
      </c>
      <c r="P151" s="35"/>
      <c r="Q151" s="35"/>
    </row>
    <row r="152" spans="1:17" s="15" customFormat="1" ht="26.25" customHeight="1" x14ac:dyDescent="0.2">
      <c r="A152" s="43" t="s">
        <v>972</v>
      </c>
      <c r="B152" s="46" t="s">
        <v>17</v>
      </c>
      <c r="C152" s="44" t="s">
        <v>976</v>
      </c>
      <c r="D152" s="34">
        <v>5130</v>
      </c>
      <c r="E152" s="46" t="s">
        <v>978</v>
      </c>
      <c r="F152" s="35">
        <v>4000</v>
      </c>
      <c r="G152" s="40">
        <v>25000</v>
      </c>
      <c r="H152" s="35">
        <v>4000</v>
      </c>
      <c r="I152" s="35">
        <f t="shared" si="4"/>
        <v>29000</v>
      </c>
      <c r="J152" s="36">
        <f t="shared" si="5"/>
        <v>0.16</v>
      </c>
      <c r="K152" s="48" t="s">
        <v>42</v>
      </c>
      <c r="L152" s="48" t="s">
        <v>37</v>
      </c>
      <c r="M152" s="38">
        <v>41364</v>
      </c>
      <c r="N152" s="48" t="s">
        <v>36</v>
      </c>
      <c r="O152" s="35">
        <v>4000</v>
      </c>
      <c r="P152" s="35"/>
      <c r="Q152" s="35"/>
    </row>
    <row r="153" spans="1:17" s="15" customFormat="1" ht="26.25" customHeight="1" x14ac:dyDescent="0.2">
      <c r="A153" s="43" t="s">
        <v>523</v>
      </c>
      <c r="B153" s="46" t="s">
        <v>50</v>
      </c>
      <c r="C153" s="44" t="s">
        <v>59</v>
      </c>
      <c r="D153" s="47">
        <v>4428</v>
      </c>
      <c r="E153" s="46" t="s">
        <v>530</v>
      </c>
      <c r="F153" s="35">
        <v>53375</v>
      </c>
      <c r="G153" s="40">
        <v>53375</v>
      </c>
      <c r="H153" s="35">
        <v>0</v>
      </c>
      <c r="I153" s="35">
        <f t="shared" si="4"/>
        <v>53375</v>
      </c>
      <c r="J153" s="36">
        <f t="shared" si="5"/>
        <v>0</v>
      </c>
      <c r="K153" s="48" t="s">
        <v>37</v>
      </c>
      <c r="L153" s="48" t="s">
        <v>37</v>
      </c>
      <c r="M153" s="38">
        <v>41455</v>
      </c>
      <c r="N153" s="48"/>
      <c r="O153" s="41">
        <v>53375</v>
      </c>
      <c r="P153" s="41"/>
      <c r="Q153" s="41"/>
    </row>
    <row r="154" spans="1:17" s="15" customFormat="1" ht="26.25" customHeight="1" x14ac:dyDescent="0.2">
      <c r="A154" s="43" t="s">
        <v>1409</v>
      </c>
      <c r="B154" s="46" t="s">
        <v>50</v>
      </c>
      <c r="C154" s="44" t="s">
        <v>59</v>
      </c>
      <c r="D154" s="34">
        <v>6353</v>
      </c>
      <c r="E154" s="46" t="s">
        <v>1414</v>
      </c>
      <c r="F154" s="35">
        <v>74400</v>
      </c>
      <c r="G154" s="40">
        <v>74400</v>
      </c>
      <c r="H154" s="35">
        <v>0</v>
      </c>
      <c r="I154" s="35">
        <f t="shared" si="4"/>
        <v>74400</v>
      </c>
      <c r="J154" s="36">
        <f t="shared" si="5"/>
        <v>0</v>
      </c>
      <c r="K154" s="48" t="s">
        <v>37</v>
      </c>
      <c r="L154" s="48" t="s">
        <v>37</v>
      </c>
      <c r="M154" s="38">
        <v>41820</v>
      </c>
      <c r="N154" s="48"/>
      <c r="O154" s="35">
        <v>74400</v>
      </c>
      <c r="P154" s="35"/>
      <c r="Q154" s="35"/>
    </row>
    <row r="155" spans="1:17" s="15" customFormat="1" ht="38.25" customHeight="1" x14ac:dyDescent="0.2">
      <c r="A155" s="43" t="s">
        <v>252</v>
      </c>
      <c r="B155" s="46" t="s">
        <v>17</v>
      </c>
      <c r="C155" s="44" t="s">
        <v>285</v>
      </c>
      <c r="D155" s="34">
        <v>4068</v>
      </c>
      <c r="E155" s="46" t="s">
        <v>267</v>
      </c>
      <c r="F155" s="35">
        <f>60000*3</f>
        <v>180000</v>
      </c>
      <c r="G155" s="40">
        <f>60000*3</f>
        <v>180000</v>
      </c>
      <c r="H155" s="35">
        <v>0</v>
      </c>
      <c r="I155" s="35">
        <f t="shared" si="4"/>
        <v>180000</v>
      </c>
      <c r="J155" s="36">
        <f t="shared" si="5"/>
        <v>0</v>
      </c>
      <c r="K155" s="48" t="s">
        <v>37</v>
      </c>
      <c r="L155" s="48" t="s">
        <v>37</v>
      </c>
      <c r="M155" s="38">
        <v>41455</v>
      </c>
      <c r="N155" s="48" t="s">
        <v>64</v>
      </c>
      <c r="O155" s="41">
        <v>60000</v>
      </c>
      <c r="P155" s="41">
        <v>60000</v>
      </c>
      <c r="Q155" s="41">
        <v>60000</v>
      </c>
    </row>
    <row r="156" spans="1:17" s="15" customFormat="1" ht="26.25" customHeight="1" x14ac:dyDescent="0.2">
      <c r="A156" s="43" t="s">
        <v>902</v>
      </c>
      <c r="B156" s="46" t="s">
        <v>17</v>
      </c>
      <c r="C156" s="44" t="s">
        <v>285</v>
      </c>
      <c r="D156" s="34">
        <v>4943</v>
      </c>
      <c r="E156" s="46" t="s">
        <v>917</v>
      </c>
      <c r="F156" s="35">
        <v>49000</v>
      </c>
      <c r="G156" s="40">
        <v>49000</v>
      </c>
      <c r="H156" s="35">
        <v>0</v>
      </c>
      <c r="I156" s="35">
        <f t="shared" si="4"/>
        <v>49000</v>
      </c>
      <c r="J156" s="36">
        <f t="shared" si="5"/>
        <v>0</v>
      </c>
      <c r="K156" s="48" t="s">
        <v>37</v>
      </c>
      <c r="L156" s="48" t="s">
        <v>37</v>
      </c>
      <c r="M156" s="38">
        <v>41455</v>
      </c>
      <c r="N156" s="37"/>
      <c r="O156" s="35">
        <v>49000</v>
      </c>
      <c r="P156" s="35"/>
      <c r="Q156" s="35"/>
    </row>
    <row r="157" spans="1:17" s="15" customFormat="1" ht="26.25" customHeight="1" x14ac:dyDescent="0.2">
      <c r="A157" s="43" t="s">
        <v>437</v>
      </c>
      <c r="B157" s="46" t="s">
        <v>40</v>
      </c>
      <c r="C157" s="44" t="s">
        <v>453</v>
      </c>
      <c r="D157" s="47">
        <v>4388</v>
      </c>
      <c r="E157" s="46" t="s">
        <v>463</v>
      </c>
      <c r="F157" s="35">
        <v>10750</v>
      </c>
      <c r="G157" s="40">
        <v>10750</v>
      </c>
      <c r="H157" s="35">
        <v>0</v>
      </c>
      <c r="I157" s="35">
        <f t="shared" si="4"/>
        <v>10750</v>
      </c>
      <c r="J157" s="36">
        <f t="shared" si="5"/>
        <v>0</v>
      </c>
      <c r="K157" s="48" t="s">
        <v>37</v>
      </c>
      <c r="L157" s="48" t="s">
        <v>37</v>
      </c>
      <c r="M157" s="38">
        <v>41090</v>
      </c>
      <c r="N157" s="48"/>
      <c r="O157" s="41">
        <v>10750</v>
      </c>
      <c r="P157" s="41"/>
      <c r="Q157" s="41"/>
    </row>
    <row r="158" spans="1:17" s="15" customFormat="1" ht="26.25" customHeight="1" x14ac:dyDescent="0.2">
      <c r="A158" s="43" t="s">
        <v>1282</v>
      </c>
      <c r="B158" s="46" t="s">
        <v>39</v>
      </c>
      <c r="C158" s="44" t="s">
        <v>1284</v>
      </c>
      <c r="D158" s="47">
        <v>5974</v>
      </c>
      <c r="E158" s="46" t="s">
        <v>1286</v>
      </c>
      <c r="F158" s="35">
        <v>98000</v>
      </c>
      <c r="G158" s="40">
        <v>98000</v>
      </c>
      <c r="H158" s="35">
        <v>0</v>
      </c>
      <c r="I158" s="35">
        <f t="shared" si="4"/>
        <v>98000</v>
      </c>
      <c r="J158" s="36">
        <f t="shared" si="5"/>
        <v>0</v>
      </c>
      <c r="K158" s="48" t="s">
        <v>37</v>
      </c>
      <c r="L158" s="48" t="s">
        <v>42</v>
      </c>
      <c r="M158" s="38">
        <v>41455</v>
      </c>
      <c r="N158" s="48"/>
      <c r="O158" s="35">
        <v>98000</v>
      </c>
      <c r="P158" s="35"/>
      <c r="Q158" s="35"/>
    </row>
    <row r="159" spans="1:17" s="15" customFormat="1" ht="26.25" customHeight="1" x14ac:dyDescent="0.2">
      <c r="A159" s="43" t="s">
        <v>1264</v>
      </c>
      <c r="B159" s="46" t="s">
        <v>48</v>
      </c>
      <c r="C159" s="44" t="s">
        <v>1268</v>
      </c>
      <c r="D159" s="47">
        <v>5908</v>
      </c>
      <c r="E159" s="46" t="s">
        <v>1276</v>
      </c>
      <c r="F159" s="35">
        <v>5680</v>
      </c>
      <c r="G159" s="40">
        <v>5680</v>
      </c>
      <c r="H159" s="35">
        <v>0</v>
      </c>
      <c r="I159" s="35">
        <f t="shared" si="4"/>
        <v>5680</v>
      </c>
      <c r="J159" s="36">
        <f t="shared" si="5"/>
        <v>0</v>
      </c>
      <c r="K159" s="48" t="s">
        <v>37</v>
      </c>
      <c r="L159" s="48" t="s">
        <v>42</v>
      </c>
      <c r="M159" s="38">
        <v>41383</v>
      </c>
      <c r="N159" s="48"/>
      <c r="O159" s="35">
        <v>5680</v>
      </c>
      <c r="P159" s="35"/>
      <c r="Q159" s="35"/>
    </row>
    <row r="160" spans="1:17" s="15" customFormat="1" ht="26.25" customHeight="1" x14ac:dyDescent="0.2">
      <c r="A160" s="43" t="s">
        <v>638</v>
      </c>
      <c r="B160" s="46" t="s">
        <v>48</v>
      </c>
      <c r="C160" s="44" t="s">
        <v>645</v>
      </c>
      <c r="D160" s="34">
        <v>4667</v>
      </c>
      <c r="E160" s="46" t="s">
        <v>650</v>
      </c>
      <c r="F160" s="35">
        <v>20000</v>
      </c>
      <c r="G160" s="40">
        <v>20000</v>
      </c>
      <c r="H160" s="35">
        <v>0</v>
      </c>
      <c r="I160" s="35">
        <f t="shared" si="4"/>
        <v>20000</v>
      </c>
      <c r="J160" s="36">
        <f t="shared" si="5"/>
        <v>0</v>
      </c>
      <c r="K160" s="48" t="s">
        <v>37</v>
      </c>
      <c r="L160" s="48" t="s">
        <v>37</v>
      </c>
      <c r="M160" s="38">
        <v>41364</v>
      </c>
      <c r="N160" s="37"/>
      <c r="O160" s="35">
        <v>20000</v>
      </c>
      <c r="P160" s="35"/>
      <c r="Q160" s="35"/>
    </row>
    <row r="161" spans="1:17" s="15" customFormat="1" ht="26.25" customHeight="1" x14ac:dyDescent="0.2">
      <c r="A161" s="43" t="s">
        <v>1105</v>
      </c>
      <c r="B161" s="46" t="s">
        <v>48</v>
      </c>
      <c r="C161" s="44" t="s">
        <v>1113</v>
      </c>
      <c r="D161" s="34">
        <v>5494</v>
      </c>
      <c r="E161" s="46" t="s">
        <v>1120</v>
      </c>
      <c r="F161" s="35">
        <v>15003</v>
      </c>
      <c r="G161" s="40">
        <v>15003</v>
      </c>
      <c r="H161" s="35">
        <v>0</v>
      </c>
      <c r="I161" s="35">
        <f t="shared" si="4"/>
        <v>15003</v>
      </c>
      <c r="J161" s="36">
        <f t="shared" si="5"/>
        <v>0</v>
      </c>
      <c r="K161" s="48" t="s">
        <v>37</v>
      </c>
      <c r="L161" s="48" t="s">
        <v>37</v>
      </c>
      <c r="M161" s="38">
        <v>41329</v>
      </c>
      <c r="N161" s="48"/>
      <c r="O161" s="35">
        <v>15003</v>
      </c>
      <c r="P161" s="35"/>
      <c r="Q161" s="35"/>
    </row>
    <row r="162" spans="1:17" s="15" customFormat="1" ht="26.25" customHeight="1" x14ac:dyDescent="0.2">
      <c r="A162" s="43" t="s">
        <v>449</v>
      </c>
      <c r="B162" s="46" t="s">
        <v>17</v>
      </c>
      <c r="C162" s="44" t="s">
        <v>461</v>
      </c>
      <c r="D162" s="47">
        <v>4284</v>
      </c>
      <c r="E162" s="46" t="s">
        <v>475</v>
      </c>
      <c r="F162" s="35">
        <f>7350*3</f>
        <v>22050</v>
      </c>
      <c r="G162" s="40">
        <f>7350*3</f>
        <v>22050</v>
      </c>
      <c r="H162" s="35">
        <v>0</v>
      </c>
      <c r="I162" s="35">
        <f t="shared" si="4"/>
        <v>22050</v>
      </c>
      <c r="J162" s="36">
        <f t="shared" si="5"/>
        <v>0</v>
      </c>
      <c r="K162" s="48" t="s">
        <v>37</v>
      </c>
      <c r="L162" s="48" t="s">
        <v>37</v>
      </c>
      <c r="M162" s="38">
        <v>41455</v>
      </c>
      <c r="N162" s="48" t="s">
        <v>64</v>
      </c>
      <c r="O162" s="41">
        <v>7350</v>
      </c>
      <c r="P162" s="41">
        <v>7350</v>
      </c>
      <c r="Q162" s="41">
        <v>7350</v>
      </c>
    </row>
    <row r="163" spans="1:17" s="15" customFormat="1" ht="18" customHeight="1" x14ac:dyDescent="0.2">
      <c r="A163" s="43" t="s">
        <v>993</v>
      </c>
      <c r="B163" s="46" t="s">
        <v>997</v>
      </c>
      <c r="C163" s="44" t="s">
        <v>998</v>
      </c>
      <c r="D163" s="47" t="s">
        <v>41</v>
      </c>
      <c r="E163" s="46" t="s">
        <v>1001</v>
      </c>
      <c r="F163" s="35">
        <f>93079*3</f>
        <v>279237</v>
      </c>
      <c r="G163" s="40">
        <f>93079*3</f>
        <v>279237</v>
      </c>
      <c r="H163" s="35">
        <v>0</v>
      </c>
      <c r="I163" s="35">
        <f t="shared" si="4"/>
        <v>279237</v>
      </c>
      <c r="J163" s="36">
        <f t="shared" si="5"/>
        <v>0</v>
      </c>
      <c r="K163" s="48" t="s">
        <v>37</v>
      </c>
      <c r="L163" s="48" t="s">
        <v>37</v>
      </c>
      <c r="M163" s="38">
        <v>41639</v>
      </c>
      <c r="N163" s="48" t="s">
        <v>64</v>
      </c>
      <c r="O163" s="35">
        <v>93079</v>
      </c>
      <c r="P163" s="35">
        <v>93079</v>
      </c>
      <c r="Q163" s="35">
        <v>93079</v>
      </c>
    </row>
    <row r="164" spans="1:17" s="15" customFormat="1" ht="26.25" customHeight="1" x14ac:dyDescent="0.2">
      <c r="A164" s="43" t="s">
        <v>635</v>
      </c>
      <c r="B164" s="46" t="s">
        <v>48</v>
      </c>
      <c r="C164" s="44" t="s">
        <v>642</v>
      </c>
      <c r="D164" s="34">
        <v>4655</v>
      </c>
      <c r="E164" s="46" t="s">
        <v>647</v>
      </c>
      <c r="F164" s="35">
        <v>8527</v>
      </c>
      <c r="G164" s="40">
        <v>8527</v>
      </c>
      <c r="H164" s="35">
        <v>0</v>
      </c>
      <c r="I164" s="35">
        <f t="shared" si="4"/>
        <v>8527</v>
      </c>
      <c r="J164" s="36">
        <f t="shared" si="5"/>
        <v>0</v>
      </c>
      <c r="K164" s="48" t="s">
        <v>37</v>
      </c>
      <c r="L164" s="48" t="s">
        <v>42</v>
      </c>
      <c r="M164" s="38">
        <v>41547</v>
      </c>
      <c r="N164" s="37"/>
      <c r="O164" s="35">
        <v>8527</v>
      </c>
      <c r="P164" s="35"/>
      <c r="Q164" s="35"/>
    </row>
    <row r="165" spans="1:17" s="15" customFormat="1" ht="26.25" customHeight="1" x14ac:dyDescent="0.2">
      <c r="A165" s="43" t="s">
        <v>717</v>
      </c>
      <c r="B165" s="46" t="s">
        <v>49</v>
      </c>
      <c r="C165" s="44" t="s">
        <v>730</v>
      </c>
      <c r="D165" s="34">
        <v>4800</v>
      </c>
      <c r="E165" s="46" t="s">
        <v>726</v>
      </c>
      <c r="F165" s="35">
        <v>99600</v>
      </c>
      <c r="G165" s="40">
        <v>99600</v>
      </c>
      <c r="H165" s="35">
        <v>0</v>
      </c>
      <c r="I165" s="35">
        <f t="shared" si="4"/>
        <v>99600</v>
      </c>
      <c r="J165" s="36">
        <f t="shared" si="5"/>
        <v>0</v>
      </c>
      <c r="K165" s="48" t="s">
        <v>37</v>
      </c>
      <c r="L165" s="48" t="s">
        <v>37</v>
      </c>
      <c r="M165" s="38">
        <v>41455</v>
      </c>
      <c r="N165" s="37"/>
      <c r="O165" s="35">
        <v>99600</v>
      </c>
      <c r="P165" s="35"/>
      <c r="Q165" s="35"/>
    </row>
    <row r="166" spans="1:17" s="15" customFormat="1" ht="38.25" customHeight="1" x14ac:dyDescent="0.2">
      <c r="A166" s="43" t="s">
        <v>1252</v>
      </c>
      <c r="B166" s="46" t="s">
        <v>48</v>
      </c>
      <c r="C166" s="44" t="s">
        <v>1232</v>
      </c>
      <c r="D166" s="47">
        <v>5814</v>
      </c>
      <c r="E166" s="46" t="s">
        <v>1242</v>
      </c>
      <c r="F166" s="35">
        <f>48750*3</f>
        <v>146250</v>
      </c>
      <c r="G166" s="40">
        <f>48750*3</f>
        <v>146250</v>
      </c>
      <c r="H166" s="35">
        <v>0</v>
      </c>
      <c r="I166" s="35">
        <f t="shared" si="4"/>
        <v>146250</v>
      </c>
      <c r="J166" s="36">
        <f t="shared" si="5"/>
        <v>0</v>
      </c>
      <c r="K166" s="48" t="s">
        <v>37</v>
      </c>
      <c r="L166" s="48" t="s">
        <v>42</v>
      </c>
      <c r="M166" s="38">
        <v>41455</v>
      </c>
      <c r="N166" s="48" t="s">
        <v>64</v>
      </c>
      <c r="O166" s="35">
        <v>48750</v>
      </c>
      <c r="P166" s="35">
        <v>48750</v>
      </c>
      <c r="Q166" s="35">
        <v>48750</v>
      </c>
    </row>
    <row r="167" spans="1:17" s="15" customFormat="1" ht="26.25" customHeight="1" x14ac:dyDescent="0.2">
      <c r="A167" s="43" t="s">
        <v>776</v>
      </c>
      <c r="B167" s="46" t="s">
        <v>49</v>
      </c>
      <c r="C167" s="44" t="s">
        <v>801</v>
      </c>
      <c r="D167" s="34">
        <v>4991</v>
      </c>
      <c r="E167" s="46" t="s">
        <v>788</v>
      </c>
      <c r="F167" s="35">
        <v>95000</v>
      </c>
      <c r="G167" s="40">
        <v>95000</v>
      </c>
      <c r="H167" s="35">
        <v>0</v>
      </c>
      <c r="I167" s="35">
        <f t="shared" si="4"/>
        <v>95000</v>
      </c>
      <c r="J167" s="36">
        <f t="shared" si="5"/>
        <v>0</v>
      </c>
      <c r="K167" s="48" t="s">
        <v>37</v>
      </c>
      <c r="L167" s="48" t="s">
        <v>42</v>
      </c>
      <c r="M167" s="38">
        <v>41455</v>
      </c>
      <c r="N167" s="37"/>
      <c r="O167" s="35">
        <v>95000</v>
      </c>
      <c r="P167" s="35"/>
      <c r="Q167" s="35"/>
    </row>
    <row r="168" spans="1:17" s="15" customFormat="1" ht="26.25" customHeight="1" x14ac:dyDescent="0.2">
      <c r="A168" s="43" t="s">
        <v>222</v>
      </c>
      <c r="B168" s="46" t="s">
        <v>46</v>
      </c>
      <c r="C168" s="44" t="s">
        <v>88</v>
      </c>
      <c r="D168" s="34">
        <v>4206</v>
      </c>
      <c r="E168" s="46" t="s">
        <v>240</v>
      </c>
      <c r="F168" s="35">
        <v>10820</v>
      </c>
      <c r="G168" s="40">
        <v>10820</v>
      </c>
      <c r="H168" s="35">
        <v>0</v>
      </c>
      <c r="I168" s="35">
        <f t="shared" si="4"/>
        <v>10820</v>
      </c>
      <c r="J168" s="36">
        <f t="shared" si="5"/>
        <v>0</v>
      </c>
      <c r="K168" s="48" t="s">
        <v>37</v>
      </c>
      <c r="L168" s="48" t="s">
        <v>42</v>
      </c>
      <c r="M168" s="38">
        <v>41090</v>
      </c>
      <c r="N168" s="37"/>
      <c r="O168" s="41">
        <v>10820</v>
      </c>
      <c r="P168" s="41"/>
      <c r="Q168" s="41"/>
    </row>
    <row r="169" spans="1:17" s="15" customFormat="1" ht="26.25" customHeight="1" x14ac:dyDescent="0.2">
      <c r="A169" s="43" t="s">
        <v>897</v>
      </c>
      <c r="B169" s="46" t="s">
        <v>46</v>
      </c>
      <c r="C169" s="44" t="s">
        <v>88</v>
      </c>
      <c r="D169" s="34">
        <v>5079</v>
      </c>
      <c r="E169" s="46" t="s">
        <v>913</v>
      </c>
      <c r="F169" s="35">
        <v>12723</v>
      </c>
      <c r="G169" s="40">
        <v>12723</v>
      </c>
      <c r="H169" s="35">
        <v>0</v>
      </c>
      <c r="I169" s="35">
        <f t="shared" si="4"/>
        <v>12723</v>
      </c>
      <c r="J169" s="36">
        <f t="shared" si="5"/>
        <v>0</v>
      </c>
      <c r="K169" s="48" t="s">
        <v>37</v>
      </c>
      <c r="L169" s="48" t="s">
        <v>42</v>
      </c>
      <c r="M169" s="38">
        <v>41455</v>
      </c>
      <c r="N169" s="37"/>
      <c r="O169" s="35">
        <v>12723</v>
      </c>
      <c r="P169" s="35"/>
      <c r="Q169" s="35"/>
    </row>
    <row r="170" spans="1:17" s="15" customFormat="1" ht="26.25" customHeight="1" x14ac:dyDescent="0.2">
      <c r="A170" s="43" t="s">
        <v>1288</v>
      </c>
      <c r="B170" s="46" t="s">
        <v>46</v>
      </c>
      <c r="C170" s="44" t="s">
        <v>88</v>
      </c>
      <c r="D170" s="47">
        <v>5935</v>
      </c>
      <c r="E170" s="46" t="s">
        <v>1309</v>
      </c>
      <c r="F170" s="35">
        <v>14414</v>
      </c>
      <c r="G170" s="40">
        <v>14414</v>
      </c>
      <c r="H170" s="35">
        <v>0</v>
      </c>
      <c r="I170" s="35">
        <f t="shared" si="4"/>
        <v>14414</v>
      </c>
      <c r="J170" s="36">
        <f t="shared" si="5"/>
        <v>0</v>
      </c>
      <c r="K170" s="48" t="s">
        <v>37</v>
      </c>
      <c r="L170" s="48" t="s">
        <v>42</v>
      </c>
      <c r="M170" s="38">
        <v>41455</v>
      </c>
      <c r="N170" s="48"/>
      <c r="O170" s="35">
        <v>14414</v>
      </c>
      <c r="P170" s="35"/>
      <c r="Q170" s="35"/>
    </row>
    <row r="171" spans="1:17" s="15" customFormat="1" ht="26.25" customHeight="1" x14ac:dyDescent="0.2">
      <c r="A171" s="43" t="s">
        <v>1066</v>
      </c>
      <c r="B171" s="46" t="s">
        <v>1068</v>
      </c>
      <c r="C171" s="44" t="s">
        <v>1072</v>
      </c>
      <c r="D171" s="34">
        <v>5388</v>
      </c>
      <c r="E171" s="46" t="s">
        <v>1079</v>
      </c>
      <c r="F171" s="35">
        <f>25000*3</f>
        <v>75000</v>
      </c>
      <c r="G171" s="40">
        <f>25000*3</f>
        <v>75000</v>
      </c>
      <c r="H171" s="35">
        <v>0</v>
      </c>
      <c r="I171" s="35">
        <f t="shared" si="4"/>
        <v>75000</v>
      </c>
      <c r="J171" s="36">
        <f t="shared" si="5"/>
        <v>0</v>
      </c>
      <c r="K171" s="48" t="s">
        <v>37</v>
      </c>
      <c r="L171" s="48" t="s">
        <v>37</v>
      </c>
      <c r="M171" s="38">
        <v>41455</v>
      </c>
      <c r="N171" s="48" t="s">
        <v>64</v>
      </c>
      <c r="O171" s="35">
        <v>25000</v>
      </c>
      <c r="P171" s="35">
        <v>25000</v>
      </c>
      <c r="Q171" s="35">
        <v>25000</v>
      </c>
    </row>
    <row r="172" spans="1:17" s="15" customFormat="1" ht="18" customHeight="1" x14ac:dyDescent="0.2">
      <c r="A172" s="43" t="s">
        <v>698</v>
      </c>
      <c r="B172" s="46" t="s">
        <v>18</v>
      </c>
      <c r="C172" s="44" t="s">
        <v>713</v>
      </c>
      <c r="D172" s="34">
        <v>4775</v>
      </c>
      <c r="E172" s="46" t="s">
        <v>705</v>
      </c>
      <c r="F172" s="35">
        <v>15000</v>
      </c>
      <c r="G172" s="40">
        <v>5000</v>
      </c>
      <c r="H172" s="35">
        <v>15000</v>
      </c>
      <c r="I172" s="35">
        <f t="shared" si="4"/>
        <v>20000</v>
      </c>
      <c r="J172" s="36">
        <f t="shared" si="5"/>
        <v>3</v>
      </c>
      <c r="K172" s="48" t="s">
        <v>37</v>
      </c>
      <c r="L172" s="48" t="s">
        <v>37</v>
      </c>
      <c r="M172" s="52" t="s">
        <v>69</v>
      </c>
      <c r="N172" s="48" t="s">
        <v>36</v>
      </c>
      <c r="O172" s="35">
        <v>15000</v>
      </c>
      <c r="P172" s="35"/>
      <c r="Q172" s="35"/>
    </row>
    <row r="173" spans="1:17" s="15" customFormat="1" ht="26.25" customHeight="1" x14ac:dyDescent="0.2">
      <c r="A173" s="43" t="s">
        <v>900</v>
      </c>
      <c r="B173" s="46" t="s">
        <v>18</v>
      </c>
      <c r="C173" s="44" t="s">
        <v>713</v>
      </c>
      <c r="D173" s="34">
        <v>5087</v>
      </c>
      <c r="E173" s="46" t="s">
        <v>916</v>
      </c>
      <c r="F173" s="35">
        <v>10000</v>
      </c>
      <c r="G173" s="40">
        <v>5000</v>
      </c>
      <c r="H173" s="35">
        <f>15000+10000</f>
        <v>25000</v>
      </c>
      <c r="I173" s="35">
        <f t="shared" si="4"/>
        <v>30000</v>
      </c>
      <c r="J173" s="36">
        <f t="shared" si="5"/>
        <v>5</v>
      </c>
      <c r="K173" s="48" t="s">
        <v>37</v>
      </c>
      <c r="L173" s="48" t="s">
        <v>37</v>
      </c>
      <c r="M173" s="52" t="s">
        <v>69</v>
      </c>
      <c r="N173" s="48" t="s">
        <v>36</v>
      </c>
      <c r="O173" s="35">
        <v>10000</v>
      </c>
      <c r="P173" s="35"/>
      <c r="Q173" s="35"/>
    </row>
    <row r="174" spans="1:17" s="15" customFormat="1" ht="26.25" customHeight="1" x14ac:dyDescent="0.2">
      <c r="A174" s="43" t="s">
        <v>1207</v>
      </c>
      <c r="B174" s="46" t="s">
        <v>18</v>
      </c>
      <c r="C174" s="44" t="s">
        <v>713</v>
      </c>
      <c r="D174" s="47" t="s">
        <v>1215</v>
      </c>
      <c r="E174" s="46" t="s">
        <v>705</v>
      </c>
      <c r="F174" s="35">
        <v>17500</v>
      </c>
      <c r="G174" s="40">
        <v>5000</v>
      </c>
      <c r="H174" s="35">
        <f>15000+10000+17500</f>
        <v>42500</v>
      </c>
      <c r="I174" s="35">
        <f t="shared" si="4"/>
        <v>47500</v>
      </c>
      <c r="J174" s="36">
        <f t="shared" si="5"/>
        <v>8.5</v>
      </c>
      <c r="K174" s="48" t="s">
        <v>37</v>
      </c>
      <c r="L174" s="48" t="s">
        <v>37</v>
      </c>
      <c r="M174" s="52" t="s">
        <v>69</v>
      </c>
      <c r="N174" s="48" t="s">
        <v>36</v>
      </c>
      <c r="O174" s="35">
        <v>17500</v>
      </c>
      <c r="P174" s="35"/>
      <c r="Q174" s="35"/>
    </row>
    <row r="175" spans="1:17" s="15" customFormat="1" ht="38.25" customHeight="1" x14ac:dyDescent="0.2">
      <c r="A175" s="43" t="s">
        <v>334</v>
      </c>
      <c r="B175" s="46" t="s">
        <v>26</v>
      </c>
      <c r="C175" s="44" t="s">
        <v>351</v>
      </c>
      <c r="D175" s="47" t="s">
        <v>380</v>
      </c>
      <c r="E175" s="46" t="s">
        <v>385</v>
      </c>
      <c r="F175" s="35">
        <v>25000</v>
      </c>
      <c r="G175" s="40">
        <v>25000</v>
      </c>
      <c r="H175" s="35">
        <v>0</v>
      </c>
      <c r="I175" s="35">
        <f t="shared" si="4"/>
        <v>25000</v>
      </c>
      <c r="J175" s="36">
        <f t="shared" si="5"/>
        <v>0</v>
      </c>
      <c r="K175" s="48" t="s">
        <v>37</v>
      </c>
      <c r="L175" s="48" t="s">
        <v>37</v>
      </c>
      <c r="M175" s="38">
        <v>41455</v>
      </c>
      <c r="N175" s="37"/>
      <c r="O175" s="41">
        <v>25000</v>
      </c>
      <c r="P175" s="41"/>
      <c r="Q175" s="41"/>
    </row>
    <row r="176" spans="1:17" s="15" customFormat="1" ht="26.25" customHeight="1" x14ac:dyDescent="0.2">
      <c r="A176" s="43" t="s">
        <v>335</v>
      </c>
      <c r="B176" s="46" t="s">
        <v>26</v>
      </c>
      <c r="C176" s="44" t="s">
        <v>351</v>
      </c>
      <c r="D176" s="47" t="s">
        <v>381</v>
      </c>
      <c r="E176" s="46" t="s">
        <v>35</v>
      </c>
      <c r="F176" s="35">
        <v>20000</v>
      </c>
      <c r="G176" s="40">
        <v>20000</v>
      </c>
      <c r="H176" s="35">
        <v>0</v>
      </c>
      <c r="I176" s="35">
        <f t="shared" si="4"/>
        <v>20000</v>
      </c>
      <c r="J176" s="36">
        <f t="shared" si="5"/>
        <v>0</v>
      </c>
      <c r="K176" s="48" t="s">
        <v>37</v>
      </c>
      <c r="L176" s="48" t="s">
        <v>37</v>
      </c>
      <c r="M176" s="38">
        <v>41455</v>
      </c>
      <c r="N176" s="37"/>
      <c r="O176" s="41">
        <v>20000</v>
      </c>
      <c r="P176" s="41"/>
      <c r="Q176" s="41"/>
    </row>
    <row r="177" spans="1:17" s="15" customFormat="1" ht="26.25" customHeight="1" x14ac:dyDescent="0.2">
      <c r="A177" s="43" t="s">
        <v>333</v>
      </c>
      <c r="B177" s="46" t="s">
        <v>26</v>
      </c>
      <c r="C177" s="44" t="s">
        <v>350</v>
      </c>
      <c r="D177" s="47" t="s">
        <v>379</v>
      </c>
      <c r="E177" s="46" t="s">
        <v>34</v>
      </c>
      <c r="F177" s="35">
        <v>20000</v>
      </c>
      <c r="G177" s="40">
        <v>20000</v>
      </c>
      <c r="H177" s="35">
        <v>0</v>
      </c>
      <c r="I177" s="35">
        <f t="shared" si="4"/>
        <v>20000</v>
      </c>
      <c r="J177" s="36">
        <f t="shared" si="5"/>
        <v>0</v>
      </c>
      <c r="K177" s="48" t="s">
        <v>37</v>
      </c>
      <c r="L177" s="48" t="s">
        <v>37</v>
      </c>
      <c r="M177" s="38">
        <v>41455</v>
      </c>
      <c r="N177" s="37"/>
      <c r="O177" s="41">
        <v>20000</v>
      </c>
      <c r="P177" s="41"/>
      <c r="Q177" s="41"/>
    </row>
    <row r="178" spans="1:17" s="15" customFormat="1" ht="26.25" customHeight="1" x14ac:dyDescent="0.2">
      <c r="A178" s="43" t="s">
        <v>332</v>
      </c>
      <c r="B178" s="46" t="s">
        <v>26</v>
      </c>
      <c r="C178" s="44" t="s">
        <v>95</v>
      </c>
      <c r="D178" s="47" t="s">
        <v>378</v>
      </c>
      <c r="E178" s="46" t="s">
        <v>33</v>
      </c>
      <c r="F178" s="35">
        <v>20000</v>
      </c>
      <c r="G178" s="40">
        <v>20000</v>
      </c>
      <c r="H178" s="35">
        <v>0</v>
      </c>
      <c r="I178" s="35">
        <f t="shared" si="4"/>
        <v>20000</v>
      </c>
      <c r="J178" s="36">
        <f t="shared" si="5"/>
        <v>0</v>
      </c>
      <c r="K178" s="48" t="s">
        <v>37</v>
      </c>
      <c r="L178" s="48" t="s">
        <v>37</v>
      </c>
      <c r="M178" s="38">
        <v>41455</v>
      </c>
      <c r="N178" s="37"/>
      <c r="O178" s="41">
        <v>20000</v>
      </c>
      <c r="P178" s="41"/>
      <c r="Q178" s="41"/>
    </row>
    <row r="179" spans="1:17" s="15" customFormat="1" ht="26.25" customHeight="1" x14ac:dyDescent="0.2">
      <c r="A179" s="43" t="s">
        <v>743</v>
      </c>
      <c r="B179" s="46" t="s">
        <v>76</v>
      </c>
      <c r="C179" s="44" t="s">
        <v>761</v>
      </c>
      <c r="D179" s="34">
        <v>4875</v>
      </c>
      <c r="E179" s="46" t="s">
        <v>754</v>
      </c>
      <c r="F179" s="35">
        <f>10000*3</f>
        <v>30000</v>
      </c>
      <c r="G179" s="40">
        <f>10000*3</f>
        <v>30000</v>
      </c>
      <c r="H179" s="35">
        <v>0</v>
      </c>
      <c r="I179" s="35">
        <f t="shared" si="4"/>
        <v>30000</v>
      </c>
      <c r="J179" s="36">
        <f t="shared" si="5"/>
        <v>0</v>
      </c>
      <c r="K179" s="48" t="s">
        <v>37</v>
      </c>
      <c r="L179" s="48" t="s">
        <v>37</v>
      </c>
      <c r="M179" s="38">
        <v>41455</v>
      </c>
      <c r="N179" s="48" t="s">
        <v>64</v>
      </c>
      <c r="O179" s="35">
        <v>10000</v>
      </c>
      <c r="P179" s="35">
        <v>10000</v>
      </c>
      <c r="Q179" s="35">
        <v>10000</v>
      </c>
    </row>
    <row r="180" spans="1:17" s="15" customFormat="1" ht="38.25" customHeight="1" x14ac:dyDescent="0.2">
      <c r="A180" s="43" t="s">
        <v>814</v>
      </c>
      <c r="B180" s="46" t="s">
        <v>825</v>
      </c>
      <c r="C180" s="44" t="s">
        <v>838</v>
      </c>
      <c r="D180" s="34">
        <v>4106</v>
      </c>
      <c r="E180" s="46" t="s">
        <v>868</v>
      </c>
      <c r="F180" s="35">
        <f>25000*3</f>
        <v>75000</v>
      </c>
      <c r="G180" s="40">
        <f>25000*3</f>
        <v>75000</v>
      </c>
      <c r="H180" s="35">
        <v>0</v>
      </c>
      <c r="I180" s="35">
        <f t="shared" si="4"/>
        <v>75000</v>
      </c>
      <c r="J180" s="36">
        <f t="shared" si="5"/>
        <v>0</v>
      </c>
      <c r="K180" s="48" t="s">
        <v>37</v>
      </c>
      <c r="L180" s="48" t="s">
        <v>37</v>
      </c>
      <c r="M180" s="38">
        <v>41455</v>
      </c>
      <c r="N180" s="48" t="s">
        <v>64</v>
      </c>
      <c r="O180" s="35">
        <v>25000</v>
      </c>
      <c r="P180" s="35">
        <v>25000</v>
      </c>
      <c r="Q180" s="35">
        <v>25000</v>
      </c>
    </row>
    <row r="181" spans="1:17" s="15" customFormat="1" ht="26.25" customHeight="1" x14ac:dyDescent="0.2">
      <c r="A181" s="43" t="s">
        <v>1178</v>
      </c>
      <c r="B181" s="46" t="s">
        <v>1180</v>
      </c>
      <c r="C181" s="44" t="s">
        <v>1181</v>
      </c>
      <c r="D181" s="47" t="s">
        <v>41</v>
      </c>
      <c r="E181" s="46" t="s">
        <v>1183</v>
      </c>
      <c r="F181" s="35">
        <v>95103</v>
      </c>
      <c r="G181" s="40">
        <v>95103</v>
      </c>
      <c r="H181" s="35">
        <v>0</v>
      </c>
      <c r="I181" s="35">
        <f t="shared" si="4"/>
        <v>95103</v>
      </c>
      <c r="J181" s="36">
        <f t="shared" si="5"/>
        <v>0</v>
      </c>
      <c r="K181" s="48" t="s">
        <v>37</v>
      </c>
      <c r="L181" s="48" t="s">
        <v>37</v>
      </c>
      <c r="M181" s="38">
        <v>41455</v>
      </c>
      <c r="N181" s="48"/>
      <c r="O181" s="35">
        <v>95103</v>
      </c>
      <c r="P181" s="35"/>
      <c r="Q181" s="35"/>
    </row>
    <row r="182" spans="1:17" s="15" customFormat="1" ht="38.25" customHeight="1" x14ac:dyDescent="0.2">
      <c r="A182" s="43" t="s">
        <v>1081</v>
      </c>
      <c r="B182" s="46" t="s">
        <v>75</v>
      </c>
      <c r="C182" s="44" t="s">
        <v>1082</v>
      </c>
      <c r="D182" s="34">
        <v>5301</v>
      </c>
      <c r="E182" s="46" t="s">
        <v>1084</v>
      </c>
      <c r="F182" s="35">
        <v>97600</v>
      </c>
      <c r="G182" s="40">
        <v>97600</v>
      </c>
      <c r="H182" s="35">
        <v>0</v>
      </c>
      <c r="I182" s="35">
        <f t="shared" si="4"/>
        <v>97600</v>
      </c>
      <c r="J182" s="36">
        <f t="shared" si="5"/>
        <v>0</v>
      </c>
      <c r="K182" s="48" t="s">
        <v>37</v>
      </c>
      <c r="L182" s="48" t="s">
        <v>37</v>
      </c>
      <c r="M182" s="38">
        <v>41455</v>
      </c>
      <c r="N182" s="48"/>
      <c r="O182" s="35">
        <v>97600</v>
      </c>
      <c r="P182" s="35"/>
      <c r="Q182" s="35"/>
    </row>
    <row r="183" spans="1:17" s="15" customFormat="1" ht="38.25" customHeight="1" x14ac:dyDescent="0.2">
      <c r="A183" s="43" t="s">
        <v>813</v>
      </c>
      <c r="B183" s="46" t="s">
        <v>825</v>
      </c>
      <c r="C183" s="44" t="s">
        <v>837</v>
      </c>
      <c r="D183" s="34">
        <v>4104</v>
      </c>
      <c r="E183" s="46" t="s">
        <v>868</v>
      </c>
      <c r="F183" s="35">
        <f>10000*3</f>
        <v>30000</v>
      </c>
      <c r="G183" s="40">
        <f>10000*3</f>
        <v>30000</v>
      </c>
      <c r="H183" s="35">
        <v>0</v>
      </c>
      <c r="I183" s="35">
        <f t="shared" si="4"/>
        <v>30000</v>
      </c>
      <c r="J183" s="36">
        <f t="shared" si="5"/>
        <v>0</v>
      </c>
      <c r="K183" s="48" t="s">
        <v>37</v>
      </c>
      <c r="L183" s="48" t="s">
        <v>37</v>
      </c>
      <c r="M183" s="38">
        <v>41455</v>
      </c>
      <c r="N183" s="48" t="s">
        <v>64</v>
      </c>
      <c r="O183" s="35">
        <v>10000</v>
      </c>
      <c r="P183" s="35">
        <v>10000</v>
      </c>
      <c r="Q183" s="35">
        <v>10000</v>
      </c>
    </row>
    <row r="184" spans="1:17" s="15" customFormat="1" ht="26.25" customHeight="1" x14ac:dyDescent="0.2">
      <c r="A184" s="43" t="s">
        <v>973</v>
      </c>
      <c r="B184" s="46" t="s">
        <v>17</v>
      </c>
      <c r="C184" s="44" t="s">
        <v>837</v>
      </c>
      <c r="D184" s="34">
        <v>5136</v>
      </c>
      <c r="E184" s="46" t="s">
        <v>979</v>
      </c>
      <c r="F184" s="35">
        <v>15700</v>
      </c>
      <c r="G184" s="40">
        <v>10000</v>
      </c>
      <c r="H184" s="35">
        <v>15700</v>
      </c>
      <c r="I184" s="35">
        <f t="shared" si="4"/>
        <v>25700</v>
      </c>
      <c r="J184" s="36">
        <f t="shared" si="5"/>
        <v>1.57</v>
      </c>
      <c r="K184" s="48" t="s">
        <v>37</v>
      </c>
      <c r="L184" s="48" t="s">
        <v>37</v>
      </c>
      <c r="M184" s="38">
        <v>41455</v>
      </c>
      <c r="N184" s="48" t="s">
        <v>36</v>
      </c>
      <c r="O184" s="35">
        <v>15700</v>
      </c>
      <c r="P184" s="35"/>
      <c r="Q184" s="35"/>
    </row>
    <row r="185" spans="1:17" s="15" customFormat="1" ht="26.25" customHeight="1" x14ac:dyDescent="0.2">
      <c r="A185" s="43" t="s">
        <v>155</v>
      </c>
      <c r="B185" s="46" t="s">
        <v>17</v>
      </c>
      <c r="C185" s="44" t="s">
        <v>208</v>
      </c>
      <c r="D185" s="47">
        <v>3944</v>
      </c>
      <c r="E185" s="46" t="s">
        <v>183</v>
      </c>
      <c r="F185" s="35">
        <f>35000*3</f>
        <v>105000</v>
      </c>
      <c r="G185" s="40">
        <f>35000*3</f>
        <v>105000</v>
      </c>
      <c r="H185" s="35">
        <v>0</v>
      </c>
      <c r="I185" s="35">
        <f t="shared" si="4"/>
        <v>105000</v>
      </c>
      <c r="J185" s="36">
        <f t="shared" si="5"/>
        <v>0</v>
      </c>
      <c r="K185" s="48" t="s">
        <v>37</v>
      </c>
      <c r="L185" s="48" t="s">
        <v>37</v>
      </c>
      <c r="M185" s="38">
        <v>41455</v>
      </c>
      <c r="N185" s="48" t="s">
        <v>64</v>
      </c>
      <c r="O185" s="41">
        <v>35000</v>
      </c>
      <c r="P185" s="41">
        <v>35000</v>
      </c>
      <c r="Q185" s="41">
        <v>35000</v>
      </c>
    </row>
    <row r="186" spans="1:17" s="15" customFormat="1" ht="38.25" customHeight="1" x14ac:dyDescent="0.2">
      <c r="A186" s="43" t="s">
        <v>1304</v>
      </c>
      <c r="B186" s="46" t="s">
        <v>19</v>
      </c>
      <c r="C186" s="44" t="s">
        <v>1305</v>
      </c>
      <c r="D186" s="47" t="s">
        <v>1401</v>
      </c>
      <c r="E186" s="46" t="s">
        <v>1315</v>
      </c>
      <c r="F186" s="35">
        <v>48750</v>
      </c>
      <c r="G186" s="40">
        <v>48750</v>
      </c>
      <c r="H186" s="35">
        <v>0</v>
      </c>
      <c r="I186" s="35">
        <f t="shared" si="4"/>
        <v>48750</v>
      </c>
      <c r="J186" s="36">
        <f t="shared" si="5"/>
        <v>0</v>
      </c>
      <c r="K186" s="48" t="s">
        <v>37</v>
      </c>
      <c r="L186" s="48" t="s">
        <v>37</v>
      </c>
      <c r="M186" s="38">
        <v>41639</v>
      </c>
      <c r="N186" s="48"/>
      <c r="O186" s="35">
        <v>48750</v>
      </c>
      <c r="P186" s="35"/>
      <c r="Q186" s="35"/>
    </row>
    <row r="187" spans="1:17" s="15" customFormat="1" ht="26.25" customHeight="1" x14ac:dyDescent="0.2">
      <c r="A187" s="43" t="s">
        <v>163</v>
      </c>
      <c r="B187" s="46" t="s">
        <v>48</v>
      </c>
      <c r="C187" s="44" t="s">
        <v>22</v>
      </c>
      <c r="D187" s="47">
        <v>4034</v>
      </c>
      <c r="E187" s="46" t="s">
        <v>191</v>
      </c>
      <c r="F187" s="49">
        <f>10000*3</f>
        <v>30000</v>
      </c>
      <c r="G187" s="50">
        <f>10000*3</f>
        <v>30000</v>
      </c>
      <c r="H187" s="49">
        <v>0</v>
      </c>
      <c r="I187" s="49">
        <f t="shared" si="4"/>
        <v>30000</v>
      </c>
      <c r="J187" s="51">
        <f t="shared" si="5"/>
        <v>0</v>
      </c>
      <c r="K187" s="48" t="s">
        <v>37</v>
      </c>
      <c r="L187" s="48" t="s">
        <v>37</v>
      </c>
      <c r="M187" s="52">
        <v>41455</v>
      </c>
      <c r="N187" s="48" t="s">
        <v>64</v>
      </c>
      <c r="O187" s="41">
        <v>10000</v>
      </c>
      <c r="P187" s="41">
        <v>10000</v>
      </c>
      <c r="Q187" s="41">
        <v>10000</v>
      </c>
    </row>
    <row r="188" spans="1:17" s="15" customFormat="1" ht="26.25" customHeight="1" x14ac:dyDescent="0.2">
      <c r="A188" s="43" t="s">
        <v>171</v>
      </c>
      <c r="B188" s="46" t="s">
        <v>21</v>
      </c>
      <c r="C188" s="44" t="s">
        <v>22</v>
      </c>
      <c r="D188" s="34">
        <v>4163</v>
      </c>
      <c r="E188" s="46" t="s">
        <v>199</v>
      </c>
      <c r="F188" s="35">
        <v>17000</v>
      </c>
      <c r="G188" s="40">
        <v>17000</v>
      </c>
      <c r="H188" s="35">
        <v>0</v>
      </c>
      <c r="I188" s="35">
        <f t="shared" si="4"/>
        <v>17000</v>
      </c>
      <c r="J188" s="36">
        <f t="shared" si="5"/>
        <v>0</v>
      </c>
      <c r="K188" s="48" t="s">
        <v>37</v>
      </c>
      <c r="L188" s="48" t="s">
        <v>37</v>
      </c>
      <c r="M188" s="38">
        <v>41455</v>
      </c>
      <c r="N188" s="37"/>
      <c r="O188" s="41">
        <v>17000</v>
      </c>
      <c r="P188" s="41"/>
      <c r="Q188" s="41"/>
    </row>
    <row r="189" spans="1:17" s="15" customFormat="1" ht="26.25" customHeight="1" x14ac:dyDescent="0.2">
      <c r="A189" s="43" t="s">
        <v>482</v>
      </c>
      <c r="B189" s="46" t="s">
        <v>46</v>
      </c>
      <c r="C189" s="44" t="s">
        <v>22</v>
      </c>
      <c r="D189" s="47">
        <v>4402</v>
      </c>
      <c r="E189" s="46" t="s">
        <v>508</v>
      </c>
      <c r="F189" s="35">
        <f>40000*3</f>
        <v>120000</v>
      </c>
      <c r="G189" s="40">
        <f>40000*3</f>
        <v>120000</v>
      </c>
      <c r="H189" s="35">
        <v>0</v>
      </c>
      <c r="I189" s="35">
        <f t="shared" si="4"/>
        <v>120000</v>
      </c>
      <c r="J189" s="36">
        <f t="shared" si="5"/>
        <v>0</v>
      </c>
      <c r="K189" s="48" t="s">
        <v>37</v>
      </c>
      <c r="L189" s="48" t="s">
        <v>37</v>
      </c>
      <c r="M189" s="38">
        <v>41455</v>
      </c>
      <c r="N189" s="48" t="s">
        <v>64</v>
      </c>
      <c r="O189" s="41">
        <v>40000</v>
      </c>
      <c r="P189" s="41">
        <v>40000</v>
      </c>
      <c r="Q189" s="41">
        <v>40000</v>
      </c>
    </row>
    <row r="190" spans="1:17" s="15" customFormat="1" ht="26.25" customHeight="1" x14ac:dyDescent="0.2">
      <c r="A190" s="43" t="s">
        <v>604</v>
      </c>
      <c r="B190" s="46" t="s">
        <v>49</v>
      </c>
      <c r="C190" s="44" t="s">
        <v>22</v>
      </c>
      <c r="D190" s="34">
        <v>4468</v>
      </c>
      <c r="E190" s="46" t="s">
        <v>676</v>
      </c>
      <c r="F190" s="35">
        <v>6000</v>
      </c>
      <c r="G190" s="40">
        <v>6000</v>
      </c>
      <c r="H190" s="35">
        <v>0</v>
      </c>
      <c r="I190" s="35">
        <f t="shared" si="4"/>
        <v>6000</v>
      </c>
      <c r="J190" s="36">
        <f t="shared" si="5"/>
        <v>0</v>
      </c>
      <c r="K190" s="48" t="s">
        <v>37</v>
      </c>
      <c r="L190" s="48" t="s">
        <v>37</v>
      </c>
      <c r="M190" s="38">
        <v>41455</v>
      </c>
      <c r="N190" s="48"/>
      <c r="O190" s="35">
        <v>6000</v>
      </c>
      <c r="P190" s="35"/>
      <c r="Q190" s="35"/>
    </row>
    <row r="191" spans="1:17" s="15" customFormat="1" ht="26.25" customHeight="1" x14ac:dyDescent="0.2">
      <c r="A191" s="43" t="s">
        <v>1262</v>
      </c>
      <c r="B191" s="46" t="s">
        <v>21</v>
      </c>
      <c r="C191" s="44" t="s">
        <v>22</v>
      </c>
      <c r="D191" s="47">
        <v>5872</v>
      </c>
      <c r="E191" s="46" t="s">
        <v>1273</v>
      </c>
      <c r="F191" s="35">
        <v>7000</v>
      </c>
      <c r="G191" s="40">
        <v>7000</v>
      </c>
      <c r="H191" s="35">
        <v>0</v>
      </c>
      <c r="I191" s="35">
        <f t="shared" si="4"/>
        <v>7000</v>
      </c>
      <c r="J191" s="36">
        <f t="shared" si="5"/>
        <v>0</v>
      </c>
      <c r="K191" s="48" t="s">
        <v>37</v>
      </c>
      <c r="L191" s="48" t="s">
        <v>37</v>
      </c>
      <c r="M191" s="38">
        <v>41455</v>
      </c>
      <c r="N191" s="48"/>
      <c r="O191" s="35">
        <v>7000</v>
      </c>
      <c r="P191" s="35"/>
      <c r="Q191" s="35"/>
    </row>
    <row r="192" spans="1:17" s="15" customFormat="1" ht="18" customHeight="1" x14ac:dyDescent="0.2">
      <c r="A192" s="43" t="s">
        <v>445</v>
      </c>
      <c r="B192" s="46" t="s">
        <v>17</v>
      </c>
      <c r="C192" s="44" t="s">
        <v>116</v>
      </c>
      <c r="D192" s="47">
        <v>4311</v>
      </c>
      <c r="E192" s="46" t="s">
        <v>471</v>
      </c>
      <c r="F192" s="35">
        <f>40000*3</f>
        <v>120000</v>
      </c>
      <c r="G192" s="40">
        <f>40000*3</f>
        <v>120000</v>
      </c>
      <c r="H192" s="35">
        <v>0</v>
      </c>
      <c r="I192" s="35">
        <f t="shared" ref="I192:I255" si="6">G192+H192</f>
        <v>120000</v>
      </c>
      <c r="J192" s="36">
        <f t="shared" ref="J192:J255" si="7">IF(G192=0,100%,(I192-G192)/G192)</f>
        <v>0</v>
      </c>
      <c r="K192" s="48" t="s">
        <v>37</v>
      </c>
      <c r="L192" s="48" t="s">
        <v>37</v>
      </c>
      <c r="M192" s="38">
        <v>41455</v>
      </c>
      <c r="N192" s="48" t="s">
        <v>64</v>
      </c>
      <c r="O192" s="41">
        <v>40000</v>
      </c>
      <c r="P192" s="41">
        <v>40000</v>
      </c>
      <c r="Q192" s="41">
        <v>40000</v>
      </c>
    </row>
    <row r="193" spans="1:17" s="15" customFormat="1" ht="26.25" customHeight="1" x14ac:dyDescent="0.2">
      <c r="A193" s="43" t="s">
        <v>229</v>
      </c>
      <c r="B193" s="46" t="s">
        <v>18</v>
      </c>
      <c r="C193" s="44" t="s">
        <v>97</v>
      </c>
      <c r="D193" s="34">
        <v>3465</v>
      </c>
      <c r="E193" s="46" t="s">
        <v>247</v>
      </c>
      <c r="F193" s="35">
        <v>49000</v>
      </c>
      <c r="G193" s="40">
        <v>50000</v>
      </c>
      <c r="H193" s="35">
        <v>49000</v>
      </c>
      <c r="I193" s="35">
        <f t="shared" si="6"/>
        <v>99000</v>
      </c>
      <c r="J193" s="36">
        <f t="shared" si="7"/>
        <v>0.98</v>
      </c>
      <c r="K193" s="48" t="s">
        <v>37</v>
      </c>
      <c r="L193" s="48" t="s">
        <v>37</v>
      </c>
      <c r="M193" s="52" t="s">
        <v>69</v>
      </c>
      <c r="N193" s="48" t="s">
        <v>36</v>
      </c>
      <c r="O193" s="41">
        <v>49000</v>
      </c>
      <c r="P193" s="41"/>
      <c r="Q193" s="41"/>
    </row>
    <row r="194" spans="1:17" s="15" customFormat="1" ht="26.25" customHeight="1" x14ac:dyDescent="0.2">
      <c r="A194" s="43" t="s">
        <v>610</v>
      </c>
      <c r="B194" s="46" t="s">
        <v>18</v>
      </c>
      <c r="C194" s="44" t="s">
        <v>97</v>
      </c>
      <c r="D194" s="34">
        <v>4600</v>
      </c>
      <c r="E194" s="46" t="s">
        <v>629</v>
      </c>
      <c r="F194" s="35">
        <v>99000</v>
      </c>
      <c r="G194" s="40">
        <v>99000</v>
      </c>
      <c r="H194" s="35">
        <v>0</v>
      </c>
      <c r="I194" s="35">
        <f t="shared" si="6"/>
        <v>99000</v>
      </c>
      <c r="J194" s="36">
        <f t="shared" si="7"/>
        <v>0</v>
      </c>
      <c r="K194" s="48" t="s">
        <v>37</v>
      </c>
      <c r="L194" s="48" t="s">
        <v>37</v>
      </c>
      <c r="M194" s="52" t="s">
        <v>69</v>
      </c>
      <c r="N194" s="48"/>
      <c r="O194" s="35">
        <v>99000</v>
      </c>
      <c r="P194" s="35"/>
      <c r="Q194" s="35"/>
    </row>
    <row r="195" spans="1:17" s="15" customFormat="1" ht="26.25" customHeight="1" x14ac:dyDescent="0.2">
      <c r="A195" s="43" t="s">
        <v>714</v>
      </c>
      <c r="B195" s="46" t="s">
        <v>18</v>
      </c>
      <c r="C195" s="44" t="s">
        <v>97</v>
      </c>
      <c r="D195" s="34">
        <v>4580</v>
      </c>
      <c r="E195" s="46" t="s">
        <v>723</v>
      </c>
      <c r="F195" s="35">
        <v>50000</v>
      </c>
      <c r="G195" s="40">
        <v>50000</v>
      </c>
      <c r="H195" s="35">
        <v>50000</v>
      </c>
      <c r="I195" s="35">
        <f t="shared" si="6"/>
        <v>100000</v>
      </c>
      <c r="J195" s="36">
        <f t="shared" si="7"/>
        <v>1</v>
      </c>
      <c r="K195" s="48" t="s">
        <v>37</v>
      </c>
      <c r="L195" s="48" t="s">
        <v>37</v>
      </c>
      <c r="M195" s="52" t="s">
        <v>69</v>
      </c>
      <c r="N195" s="48" t="s">
        <v>36</v>
      </c>
      <c r="O195" s="35">
        <v>50000</v>
      </c>
      <c r="P195" s="35"/>
      <c r="Q195" s="35"/>
    </row>
    <row r="196" spans="1:17" s="15" customFormat="1" ht="26.25" customHeight="1" x14ac:dyDescent="0.2">
      <c r="A196" s="43" t="s">
        <v>738</v>
      </c>
      <c r="B196" s="46" t="s">
        <v>18</v>
      </c>
      <c r="C196" s="44" t="s">
        <v>97</v>
      </c>
      <c r="D196" s="34">
        <v>4625</v>
      </c>
      <c r="E196" s="46" t="s">
        <v>749</v>
      </c>
      <c r="F196" s="35">
        <v>10000</v>
      </c>
      <c r="G196" s="40">
        <v>5000</v>
      </c>
      <c r="H196" s="35">
        <v>10000</v>
      </c>
      <c r="I196" s="35">
        <f t="shared" si="6"/>
        <v>15000</v>
      </c>
      <c r="J196" s="36">
        <f t="shared" si="7"/>
        <v>2</v>
      </c>
      <c r="K196" s="48" t="s">
        <v>37</v>
      </c>
      <c r="L196" s="48" t="s">
        <v>37</v>
      </c>
      <c r="M196" s="52" t="s">
        <v>69</v>
      </c>
      <c r="N196" s="48" t="s">
        <v>36</v>
      </c>
      <c r="O196" s="35">
        <v>10000</v>
      </c>
      <c r="P196" s="35"/>
      <c r="Q196" s="35"/>
    </row>
    <row r="197" spans="1:17" s="15" customFormat="1" ht="26.25" customHeight="1" x14ac:dyDescent="0.2">
      <c r="A197" s="43" t="s">
        <v>1009</v>
      </c>
      <c r="B197" s="46" t="s">
        <v>18</v>
      </c>
      <c r="C197" s="44" t="s">
        <v>97</v>
      </c>
      <c r="D197" s="34">
        <v>5158</v>
      </c>
      <c r="E197" s="46" t="s">
        <v>1019</v>
      </c>
      <c r="F197" s="35">
        <v>25000</v>
      </c>
      <c r="G197" s="40">
        <v>5000</v>
      </c>
      <c r="H197" s="35">
        <f>10000+25000</f>
        <v>35000</v>
      </c>
      <c r="I197" s="35">
        <f t="shared" si="6"/>
        <v>40000</v>
      </c>
      <c r="J197" s="36">
        <f t="shared" si="7"/>
        <v>7</v>
      </c>
      <c r="K197" s="48" t="s">
        <v>37</v>
      </c>
      <c r="L197" s="48" t="s">
        <v>37</v>
      </c>
      <c r="M197" s="52" t="s">
        <v>69</v>
      </c>
      <c r="N197" s="48" t="s">
        <v>36</v>
      </c>
      <c r="O197" s="35">
        <v>25000</v>
      </c>
      <c r="P197" s="35"/>
      <c r="Q197" s="35"/>
    </row>
    <row r="198" spans="1:17" s="15" customFormat="1" ht="26.25" customHeight="1" x14ac:dyDescent="0.2">
      <c r="A198" s="43" t="s">
        <v>736</v>
      </c>
      <c r="B198" s="46" t="s">
        <v>76</v>
      </c>
      <c r="C198" s="44" t="s">
        <v>757</v>
      </c>
      <c r="D198" s="47" t="s">
        <v>41</v>
      </c>
      <c r="E198" s="46" t="s">
        <v>747</v>
      </c>
      <c r="F198" s="35">
        <v>30000</v>
      </c>
      <c r="G198" s="40">
        <v>30000</v>
      </c>
      <c r="H198" s="35">
        <v>0</v>
      </c>
      <c r="I198" s="35">
        <f t="shared" si="6"/>
        <v>30000</v>
      </c>
      <c r="J198" s="36">
        <f t="shared" si="7"/>
        <v>0</v>
      </c>
      <c r="K198" s="48" t="s">
        <v>37</v>
      </c>
      <c r="L198" s="48" t="s">
        <v>37</v>
      </c>
      <c r="M198" s="38">
        <v>41455</v>
      </c>
      <c r="N198" s="37"/>
      <c r="O198" s="35">
        <v>30000</v>
      </c>
      <c r="P198" s="35"/>
      <c r="Q198" s="35"/>
    </row>
    <row r="199" spans="1:17" s="15" customFormat="1" ht="26.25" customHeight="1" x14ac:dyDescent="0.2">
      <c r="A199" s="43" t="s">
        <v>1036</v>
      </c>
      <c r="B199" s="46" t="s">
        <v>46</v>
      </c>
      <c r="C199" s="44" t="s">
        <v>1040</v>
      </c>
      <c r="D199" s="34">
        <v>5222</v>
      </c>
      <c r="E199" s="46" t="s">
        <v>1043</v>
      </c>
      <c r="F199" s="35">
        <f>63000*3</f>
        <v>189000</v>
      </c>
      <c r="G199" s="40">
        <f>63000*3</f>
        <v>189000</v>
      </c>
      <c r="H199" s="35">
        <v>0</v>
      </c>
      <c r="I199" s="35">
        <f t="shared" si="6"/>
        <v>189000</v>
      </c>
      <c r="J199" s="36">
        <f t="shared" si="7"/>
        <v>0</v>
      </c>
      <c r="K199" s="48" t="s">
        <v>37</v>
      </c>
      <c r="L199" s="48" t="s">
        <v>37</v>
      </c>
      <c r="M199" s="38">
        <v>41639</v>
      </c>
      <c r="N199" s="48" t="s">
        <v>64</v>
      </c>
      <c r="O199" s="35">
        <v>63000</v>
      </c>
      <c r="P199" s="35">
        <v>63000</v>
      </c>
      <c r="Q199" s="35">
        <v>63000</v>
      </c>
    </row>
    <row r="200" spans="1:17" s="15" customFormat="1" ht="38.25" customHeight="1" x14ac:dyDescent="0.2">
      <c r="A200" s="43" t="s">
        <v>1047</v>
      </c>
      <c r="B200" s="46" t="s">
        <v>46</v>
      </c>
      <c r="C200" s="44" t="s">
        <v>1052</v>
      </c>
      <c r="D200" s="34">
        <v>5223</v>
      </c>
      <c r="E200" s="46" t="s">
        <v>1057</v>
      </c>
      <c r="F200" s="35">
        <f>46800*3</f>
        <v>140400</v>
      </c>
      <c r="G200" s="40">
        <f>46800*3</f>
        <v>140400</v>
      </c>
      <c r="H200" s="35">
        <v>0</v>
      </c>
      <c r="I200" s="35">
        <f t="shared" si="6"/>
        <v>140400</v>
      </c>
      <c r="J200" s="36">
        <f t="shared" si="7"/>
        <v>0</v>
      </c>
      <c r="K200" s="48" t="s">
        <v>37</v>
      </c>
      <c r="L200" s="48" t="s">
        <v>37</v>
      </c>
      <c r="M200" s="38">
        <v>41639</v>
      </c>
      <c r="N200" s="48" t="s">
        <v>64</v>
      </c>
      <c r="O200" s="35">
        <v>46800</v>
      </c>
      <c r="P200" s="35">
        <v>46800</v>
      </c>
      <c r="Q200" s="35">
        <v>46800</v>
      </c>
    </row>
    <row r="201" spans="1:17" s="15" customFormat="1" ht="18" customHeight="1" x14ac:dyDescent="0.2">
      <c r="A201" s="43" t="s">
        <v>587</v>
      </c>
      <c r="B201" s="46" t="s">
        <v>46</v>
      </c>
      <c r="C201" s="44" t="s">
        <v>596</v>
      </c>
      <c r="D201" s="34">
        <v>4453</v>
      </c>
      <c r="E201" s="46" t="s">
        <v>591</v>
      </c>
      <c r="F201" s="35">
        <f>20000*3</f>
        <v>60000</v>
      </c>
      <c r="G201" s="40">
        <f>20000*3</f>
        <v>60000</v>
      </c>
      <c r="H201" s="35">
        <v>0</v>
      </c>
      <c r="I201" s="35">
        <f t="shared" si="6"/>
        <v>60000</v>
      </c>
      <c r="J201" s="36">
        <f t="shared" si="7"/>
        <v>0</v>
      </c>
      <c r="K201" s="48" t="s">
        <v>37</v>
      </c>
      <c r="L201" s="48" t="s">
        <v>37</v>
      </c>
      <c r="M201" s="38">
        <v>41455</v>
      </c>
      <c r="N201" s="48" t="s">
        <v>64</v>
      </c>
      <c r="O201" s="35">
        <v>20000</v>
      </c>
      <c r="P201" s="35">
        <v>20000</v>
      </c>
      <c r="Q201" s="35">
        <v>20000</v>
      </c>
    </row>
    <row r="202" spans="1:17" s="15" customFormat="1" ht="26.25" customHeight="1" x14ac:dyDescent="0.2">
      <c r="A202" s="43" t="s">
        <v>769</v>
      </c>
      <c r="B202" s="46" t="s">
        <v>17</v>
      </c>
      <c r="C202" s="44" t="s">
        <v>794</v>
      </c>
      <c r="D202" s="34">
        <v>4945</v>
      </c>
      <c r="E202" s="46" t="s">
        <v>789</v>
      </c>
      <c r="F202" s="35">
        <f>95000*3</f>
        <v>285000</v>
      </c>
      <c r="G202" s="40">
        <f>95000*3</f>
        <v>285000</v>
      </c>
      <c r="H202" s="35">
        <v>0</v>
      </c>
      <c r="I202" s="35">
        <f t="shared" si="6"/>
        <v>285000</v>
      </c>
      <c r="J202" s="36">
        <f t="shared" si="7"/>
        <v>0</v>
      </c>
      <c r="K202" s="48" t="s">
        <v>37</v>
      </c>
      <c r="L202" s="48" t="s">
        <v>37</v>
      </c>
      <c r="M202" s="38">
        <v>41455</v>
      </c>
      <c r="N202" s="48" t="s">
        <v>64</v>
      </c>
      <c r="O202" s="35">
        <v>95000</v>
      </c>
      <c r="P202" s="35">
        <v>95000</v>
      </c>
      <c r="Q202" s="35">
        <v>95000</v>
      </c>
    </row>
    <row r="203" spans="1:17" s="15" customFormat="1" ht="26.25" customHeight="1" x14ac:dyDescent="0.2">
      <c r="A203" s="43" t="s">
        <v>438</v>
      </c>
      <c r="B203" s="46" t="s">
        <v>40</v>
      </c>
      <c r="C203" s="44" t="s">
        <v>87</v>
      </c>
      <c r="D203" s="47">
        <v>4384</v>
      </c>
      <c r="E203" s="46" t="s">
        <v>464</v>
      </c>
      <c r="F203" s="35">
        <v>12500</v>
      </c>
      <c r="G203" s="40">
        <v>12500</v>
      </c>
      <c r="H203" s="35">
        <v>0</v>
      </c>
      <c r="I203" s="35">
        <f t="shared" si="6"/>
        <v>12500</v>
      </c>
      <c r="J203" s="36">
        <f t="shared" si="7"/>
        <v>0</v>
      </c>
      <c r="K203" s="48" t="s">
        <v>37</v>
      </c>
      <c r="L203" s="48" t="s">
        <v>37</v>
      </c>
      <c r="M203" s="38">
        <v>41274</v>
      </c>
      <c r="N203" s="48"/>
      <c r="O203" s="41">
        <v>12500</v>
      </c>
      <c r="P203" s="41"/>
      <c r="Q203" s="41"/>
    </row>
    <row r="204" spans="1:17" s="15" customFormat="1" ht="26.25" customHeight="1" x14ac:dyDescent="0.2">
      <c r="A204" s="43" t="s">
        <v>1290</v>
      </c>
      <c r="B204" s="46" t="s">
        <v>48</v>
      </c>
      <c r="C204" s="44" t="s">
        <v>1302</v>
      </c>
      <c r="D204" s="47">
        <v>5951</v>
      </c>
      <c r="E204" s="46" t="s">
        <v>1317</v>
      </c>
      <c r="F204" s="35">
        <v>9355</v>
      </c>
      <c r="G204" s="40">
        <v>9355</v>
      </c>
      <c r="H204" s="35">
        <v>0</v>
      </c>
      <c r="I204" s="35">
        <f t="shared" si="6"/>
        <v>9355</v>
      </c>
      <c r="J204" s="36">
        <f t="shared" si="7"/>
        <v>0</v>
      </c>
      <c r="K204" s="48" t="s">
        <v>37</v>
      </c>
      <c r="L204" s="48" t="s">
        <v>42</v>
      </c>
      <c r="M204" s="38">
        <v>41383</v>
      </c>
      <c r="N204" s="48"/>
      <c r="O204" s="35">
        <v>9355</v>
      </c>
      <c r="P204" s="35"/>
      <c r="Q204" s="35"/>
    </row>
    <row r="205" spans="1:17" s="15" customFormat="1" ht="26.25" customHeight="1" x14ac:dyDescent="0.2">
      <c r="A205" s="43" t="s">
        <v>938</v>
      </c>
      <c r="B205" s="46" t="s">
        <v>26</v>
      </c>
      <c r="C205" s="44" t="s">
        <v>945</v>
      </c>
      <c r="D205" s="47" t="s">
        <v>41</v>
      </c>
      <c r="E205" s="46" t="s">
        <v>951</v>
      </c>
      <c r="F205" s="35">
        <v>99000</v>
      </c>
      <c r="G205" s="40">
        <v>99000</v>
      </c>
      <c r="H205" s="35">
        <v>0</v>
      </c>
      <c r="I205" s="35">
        <f t="shared" si="6"/>
        <v>99000</v>
      </c>
      <c r="J205" s="36">
        <f t="shared" si="7"/>
        <v>0</v>
      </c>
      <c r="K205" s="48" t="s">
        <v>37</v>
      </c>
      <c r="L205" s="48" t="s">
        <v>37</v>
      </c>
      <c r="M205" s="38">
        <v>41455</v>
      </c>
      <c r="N205" s="37"/>
      <c r="O205" s="35">
        <v>99000</v>
      </c>
      <c r="P205" s="35"/>
      <c r="Q205" s="35"/>
    </row>
    <row r="206" spans="1:17" s="15" customFormat="1" ht="26.25" customHeight="1" x14ac:dyDescent="0.2">
      <c r="A206" s="43" t="s">
        <v>221</v>
      </c>
      <c r="B206" s="46" t="s">
        <v>46</v>
      </c>
      <c r="C206" s="44" t="s">
        <v>231</v>
      </c>
      <c r="D206" s="34">
        <v>4205</v>
      </c>
      <c r="E206" s="46" t="s">
        <v>239</v>
      </c>
      <c r="F206" s="35">
        <v>5484</v>
      </c>
      <c r="G206" s="40">
        <v>5484</v>
      </c>
      <c r="H206" s="35">
        <v>0</v>
      </c>
      <c r="I206" s="35">
        <f t="shared" si="6"/>
        <v>5484</v>
      </c>
      <c r="J206" s="36">
        <f t="shared" si="7"/>
        <v>0</v>
      </c>
      <c r="K206" s="48" t="s">
        <v>37</v>
      </c>
      <c r="L206" s="48" t="s">
        <v>42</v>
      </c>
      <c r="M206" s="38">
        <v>41455</v>
      </c>
      <c r="N206" s="37"/>
      <c r="O206" s="41">
        <v>5484</v>
      </c>
      <c r="P206" s="41"/>
      <c r="Q206" s="41"/>
    </row>
    <row r="207" spans="1:17" s="15" customFormat="1" ht="26.25" customHeight="1" x14ac:dyDescent="0.2">
      <c r="A207" s="43" t="s">
        <v>1050</v>
      </c>
      <c r="B207" s="46" t="s">
        <v>48</v>
      </c>
      <c r="C207" s="44" t="s">
        <v>231</v>
      </c>
      <c r="D207" s="34">
        <v>5326</v>
      </c>
      <c r="E207" s="46" t="s">
        <v>1058</v>
      </c>
      <c r="F207" s="35">
        <v>6041</v>
      </c>
      <c r="G207" s="40">
        <v>6041</v>
      </c>
      <c r="H207" s="35">
        <v>0</v>
      </c>
      <c r="I207" s="35">
        <f t="shared" si="6"/>
        <v>6041</v>
      </c>
      <c r="J207" s="36">
        <f t="shared" si="7"/>
        <v>0</v>
      </c>
      <c r="K207" s="48" t="s">
        <v>37</v>
      </c>
      <c r="L207" s="48" t="s">
        <v>42</v>
      </c>
      <c r="M207" s="38">
        <v>41262</v>
      </c>
      <c r="N207" s="48"/>
      <c r="O207" s="35">
        <v>6041</v>
      </c>
      <c r="P207" s="35"/>
      <c r="Q207" s="35"/>
    </row>
    <row r="208" spans="1:17" s="15" customFormat="1" ht="26.25" customHeight="1" x14ac:dyDescent="0.2">
      <c r="A208" s="43" t="s">
        <v>924</v>
      </c>
      <c r="B208" s="46" t="s">
        <v>17</v>
      </c>
      <c r="C208" s="44" t="s">
        <v>928</v>
      </c>
      <c r="D208" s="34">
        <v>5085</v>
      </c>
      <c r="E208" s="46" t="s">
        <v>933</v>
      </c>
      <c r="F208" s="35">
        <v>6761</v>
      </c>
      <c r="G208" s="40">
        <v>6761</v>
      </c>
      <c r="H208" s="35">
        <v>0</v>
      </c>
      <c r="I208" s="35">
        <f t="shared" si="6"/>
        <v>6761</v>
      </c>
      <c r="J208" s="36">
        <f t="shared" si="7"/>
        <v>0</v>
      </c>
      <c r="K208" s="48" t="s">
        <v>37</v>
      </c>
      <c r="L208" s="48" t="s">
        <v>37</v>
      </c>
      <c r="M208" s="38">
        <v>41364</v>
      </c>
      <c r="N208" s="37"/>
      <c r="O208" s="35">
        <v>6761</v>
      </c>
      <c r="P208" s="35"/>
      <c r="Q208" s="35"/>
    </row>
    <row r="209" spans="1:17" s="15" customFormat="1" ht="26.25" customHeight="1" x14ac:dyDescent="0.2">
      <c r="A209" s="43" t="s">
        <v>401</v>
      </c>
      <c r="B209" s="46" t="s">
        <v>92</v>
      </c>
      <c r="C209" s="44" t="s">
        <v>415</v>
      </c>
      <c r="D209" s="34">
        <v>3934</v>
      </c>
      <c r="E209" s="46" t="s">
        <v>432</v>
      </c>
      <c r="F209" s="35">
        <f>25000*3</f>
        <v>75000</v>
      </c>
      <c r="G209" s="40">
        <f>25000*3</f>
        <v>75000</v>
      </c>
      <c r="H209" s="35">
        <v>0</v>
      </c>
      <c r="I209" s="35">
        <f t="shared" si="6"/>
        <v>75000</v>
      </c>
      <c r="J209" s="36">
        <f t="shared" si="7"/>
        <v>0</v>
      </c>
      <c r="K209" s="48" t="s">
        <v>37</v>
      </c>
      <c r="L209" s="48" t="s">
        <v>37</v>
      </c>
      <c r="M209" s="38">
        <v>41455</v>
      </c>
      <c r="N209" s="48" t="s">
        <v>64</v>
      </c>
      <c r="O209" s="41">
        <v>25000</v>
      </c>
      <c r="P209" s="41">
        <v>25000</v>
      </c>
      <c r="Q209" s="41">
        <v>25000</v>
      </c>
    </row>
    <row r="210" spans="1:17" s="15" customFormat="1" ht="26.25" customHeight="1" x14ac:dyDescent="0.2">
      <c r="A210" s="43" t="s">
        <v>484</v>
      </c>
      <c r="B210" s="46" t="s">
        <v>46</v>
      </c>
      <c r="C210" s="44" t="s">
        <v>496</v>
      </c>
      <c r="D210" s="47">
        <v>4406</v>
      </c>
      <c r="E210" s="46" t="s">
        <v>510</v>
      </c>
      <c r="F210" s="35">
        <f>15000*3</f>
        <v>45000</v>
      </c>
      <c r="G210" s="40">
        <f>15000*3</f>
        <v>45000</v>
      </c>
      <c r="H210" s="35">
        <v>0</v>
      </c>
      <c r="I210" s="35">
        <f t="shared" si="6"/>
        <v>45000</v>
      </c>
      <c r="J210" s="36">
        <f t="shared" si="7"/>
        <v>0</v>
      </c>
      <c r="K210" s="48" t="s">
        <v>37</v>
      </c>
      <c r="L210" s="48" t="s">
        <v>37</v>
      </c>
      <c r="M210" s="38">
        <v>41455</v>
      </c>
      <c r="N210" s="48" t="s">
        <v>64</v>
      </c>
      <c r="O210" s="41">
        <v>15000</v>
      </c>
      <c r="P210" s="41">
        <v>15000</v>
      </c>
      <c r="Q210" s="41">
        <v>15000</v>
      </c>
    </row>
    <row r="211" spans="1:17" s="15" customFormat="1" ht="26.25" customHeight="1" x14ac:dyDescent="0.2">
      <c r="A211" s="43" t="s">
        <v>159</v>
      </c>
      <c r="B211" s="46" t="s">
        <v>65</v>
      </c>
      <c r="C211" s="44" t="s">
        <v>212</v>
      </c>
      <c r="D211" s="47">
        <v>4011</v>
      </c>
      <c r="E211" s="46" t="s">
        <v>187</v>
      </c>
      <c r="F211" s="49">
        <f>13752*3</f>
        <v>41256</v>
      </c>
      <c r="G211" s="50">
        <f>13752*3</f>
        <v>41256</v>
      </c>
      <c r="H211" s="49">
        <v>0</v>
      </c>
      <c r="I211" s="49">
        <f t="shared" si="6"/>
        <v>41256</v>
      </c>
      <c r="J211" s="51">
        <f t="shared" si="7"/>
        <v>0</v>
      </c>
      <c r="K211" s="48" t="s">
        <v>37</v>
      </c>
      <c r="L211" s="48" t="s">
        <v>37</v>
      </c>
      <c r="M211" s="52">
        <v>41455</v>
      </c>
      <c r="N211" s="48" t="s">
        <v>64</v>
      </c>
      <c r="O211" s="41">
        <v>13752</v>
      </c>
      <c r="P211" s="41">
        <v>13752</v>
      </c>
      <c r="Q211" s="41">
        <v>13752</v>
      </c>
    </row>
    <row r="212" spans="1:17" s="15" customFormat="1" ht="26.25" customHeight="1" x14ac:dyDescent="0.2">
      <c r="A212" s="43" t="s">
        <v>770</v>
      </c>
      <c r="B212" s="46" t="s">
        <v>17</v>
      </c>
      <c r="C212" s="44" t="s">
        <v>795</v>
      </c>
      <c r="D212" s="34">
        <v>4332</v>
      </c>
      <c r="E212" s="46" t="s">
        <v>782</v>
      </c>
      <c r="F212" s="35">
        <f>50000*3</f>
        <v>150000</v>
      </c>
      <c r="G212" s="40">
        <f>50000*3</f>
        <v>150000</v>
      </c>
      <c r="H212" s="35">
        <v>0</v>
      </c>
      <c r="I212" s="35">
        <f t="shared" si="6"/>
        <v>150000</v>
      </c>
      <c r="J212" s="36">
        <f t="shared" si="7"/>
        <v>0</v>
      </c>
      <c r="K212" s="48" t="s">
        <v>37</v>
      </c>
      <c r="L212" s="48" t="s">
        <v>37</v>
      </c>
      <c r="M212" s="38">
        <v>41455</v>
      </c>
      <c r="N212" s="48" t="s">
        <v>64</v>
      </c>
      <c r="O212" s="35">
        <v>50000</v>
      </c>
      <c r="P212" s="35">
        <v>50000</v>
      </c>
      <c r="Q212" s="35">
        <v>50000</v>
      </c>
    </row>
    <row r="213" spans="1:17" s="15" customFormat="1" ht="26.25" customHeight="1" x14ac:dyDescent="0.2">
      <c r="A213" s="43" t="s">
        <v>690</v>
      </c>
      <c r="B213" s="46" t="s">
        <v>76</v>
      </c>
      <c r="C213" s="44" t="s">
        <v>707</v>
      </c>
      <c r="D213" s="34">
        <v>4703</v>
      </c>
      <c r="E213" s="46" t="s">
        <v>699</v>
      </c>
      <c r="F213" s="35">
        <f>42222*3</f>
        <v>126666</v>
      </c>
      <c r="G213" s="40">
        <f>42222*3</f>
        <v>126666</v>
      </c>
      <c r="H213" s="35">
        <v>0</v>
      </c>
      <c r="I213" s="35">
        <f t="shared" si="6"/>
        <v>126666</v>
      </c>
      <c r="J213" s="36">
        <f t="shared" si="7"/>
        <v>0</v>
      </c>
      <c r="K213" s="48" t="s">
        <v>37</v>
      </c>
      <c r="L213" s="48" t="s">
        <v>37</v>
      </c>
      <c r="M213" s="38">
        <v>41517</v>
      </c>
      <c r="N213" s="48" t="s">
        <v>64</v>
      </c>
      <c r="O213" s="35">
        <v>42222</v>
      </c>
      <c r="P213" s="35">
        <v>42222</v>
      </c>
      <c r="Q213" s="35">
        <v>42222</v>
      </c>
    </row>
    <row r="214" spans="1:17" s="15" customFormat="1" ht="26.25" customHeight="1" x14ac:dyDescent="0.2">
      <c r="A214" s="43" t="s">
        <v>303</v>
      </c>
      <c r="B214" s="46" t="s">
        <v>48</v>
      </c>
      <c r="C214" s="44" t="s">
        <v>104</v>
      </c>
      <c r="D214" s="34">
        <v>3982</v>
      </c>
      <c r="E214" s="46" t="s">
        <v>314</v>
      </c>
      <c r="F214" s="35">
        <v>3200</v>
      </c>
      <c r="G214" s="40">
        <v>17500</v>
      </c>
      <c r="H214" s="35">
        <f>10000+3200</f>
        <v>13200</v>
      </c>
      <c r="I214" s="35">
        <f t="shared" si="6"/>
        <v>30700</v>
      </c>
      <c r="J214" s="36">
        <f t="shared" si="7"/>
        <v>0.75428571428571434</v>
      </c>
      <c r="K214" s="48" t="s">
        <v>37</v>
      </c>
      <c r="L214" s="48" t="s">
        <v>37</v>
      </c>
      <c r="M214" s="38">
        <v>41090</v>
      </c>
      <c r="N214" s="48" t="s">
        <v>36</v>
      </c>
      <c r="O214" s="41">
        <v>3200</v>
      </c>
      <c r="P214" s="41"/>
      <c r="Q214" s="41"/>
    </row>
    <row r="215" spans="1:17" s="15" customFormat="1" ht="26.25" customHeight="1" x14ac:dyDescent="0.2">
      <c r="A215" s="43" t="s">
        <v>694</v>
      </c>
      <c r="B215" s="46" t="s">
        <v>48</v>
      </c>
      <c r="C215" s="44" t="s">
        <v>104</v>
      </c>
      <c r="D215" s="34">
        <v>4687</v>
      </c>
      <c r="E215" s="46" t="s">
        <v>706</v>
      </c>
      <c r="F215" s="35">
        <v>27500</v>
      </c>
      <c r="G215" s="40">
        <v>27500</v>
      </c>
      <c r="H215" s="35">
        <v>0</v>
      </c>
      <c r="I215" s="35">
        <f t="shared" si="6"/>
        <v>27500</v>
      </c>
      <c r="J215" s="36">
        <f t="shared" si="7"/>
        <v>0</v>
      </c>
      <c r="K215" s="48" t="s">
        <v>37</v>
      </c>
      <c r="L215" s="48" t="s">
        <v>37</v>
      </c>
      <c r="M215" s="38">
        <v>41455</v>
      </c>
      <c r="N215" s="37"/>
      <c r="O215" s="35">
        <v>27500</v>
      </c>
      <c r="P215" s="35"/>
      <c r="Q215" s="35"/>
    </row>
    <row r="216" spans="1:17" s="15" customFormat="1" ht="26.25" customHeight="1" x14ac:dyDescent="0.2">
      <c r="A216" s="43" t="s">
        <v>686</v>
      </c>
      <c r="B216" s="46" t="s">
        <v>687</v>
      </c>
      <c r="C216" s="44" t="s">
        <v>689</v>
      </c>
      <c r="D216" s="34">
        <v>4369</v>
      </c>
      <c r="E216" s="46" t="s">
        <v>685</v>
      </c>
      <c r="F216" s="35">
        <f>93699+46850</f>
        <v>140549</v>
      </c>
      <c r="G216" s="40">
        <f>93699+46850</f>
        <v>140549</v>
      </c>
      <c r="H216" s="35">
        <v>0</v>
      </c>
      <c r="I216" s="35">
        <f t="shared" si="6"/>
        <v>140549</v>
      </c>
      <c r="J216" s="36">
        <f t="shared" si="7"/>
        <v>0</v>
      </c>
      <c r="K216" s="48" t="s">
        <v>37</v>
      </c>
      <c r="L216" s="48" t="s">
        <v>37</v>
      </c>
      <c r="M216" s="38">
        <v>41820</v>
      </c>
      <c r="N216" s="48" t="s">
        <v>64</v>
      </c>
      <c r="O216" s="35">
        <v>93699</v>
      </c>
      <c r="P216" s="35"/>
      <c r="Q216" s="35">
        <v>46850</v>
      </c>
    </row>
    <row r="217" spans="1:17" s="15" customFormat="1" ht="38.25" customHeight="1" x14ac:dyDescent="0.2">
      <c r="A217" s="43" t="s">
        <v>1283</v>
      </c>
      <c r="B217" s="46" t="s">
        <v>39</v>
      </c>
      <c r="C217" s="44" t="s">
        <v>1285</v>
      </c>
      <c r="D217" s="47">
        <v>5962</v>
      </c>
      <c r="E217" s="46" t="s">
        <v>1287</v>
      </c>
      <c r="F217" s="35">
        <v>99299</v>
      </c>
      <c r="G217" s="40">
        <v>99299</v>
      </c>
      <c r="H217" s="35">
        <v>0</v>
      </c>
      <c r="I217" s="35">
        <f t="shared" si="6"/>
        <v>99299</v>
      </c>
      <c r="J217" s="36">
        <f t="shared" si="7"/>
        <v>0</v>
      </c>
      <c r="K217" s="48" t="s">
        <v>37</v>
      </c>
      <c r="L217" s="48" t="s">
        <v>42</v>
      </c>
      <c r="M217" s="38">
        <v>41455</v>
      </c>
      <c r="N217" s="48"/>
      <c r="O217" s="35">
        <v>99299</v>
      </c>
      <c r="P217" s="35"/>
      <c r="Q217" s="35"/>
    </row>
    <row r="218" spans="1:17" s="15" customFormat="1" ht="38.25" customHeight="1" x14ac:dyDescent="0.2">
      <c r="A218" s="43" t="s">
        <v>1261</v>
      </c>
      <c r="B218" s="46" t="s">
        <v>1176</v>
      </c>
      <c r="C218" s="44" t="s">
        <v>1267</v>
      </c>
      <c r="D218" s="47" t="s">
        <v>41</v>
      </c>
      <c r="E218" s="46" t="s">
        <v>1272</v>
      </c>
      <c r="F218" s="35">
        <v>20500</v>
      </c>
      <c r="G218" s="40">
        <v>20500</v>
      </c>
      <c r="H218" s="35">
        <v>0</v>
      </c>
      <c r="I218" s="35">
        <f t="shared" si="6"/>
        <v>20500</v>
      </c>
      <c r="J218" s="36">
        <f t="shared" si="7"/>
        <v>0</v>
      </c>
      <c r="K218" s="48" t="s">
        <v>37</v>
      </c>
      <c r="L218" s="48" t="s">
        <v>37</v>
      </c>
      <c r="M218" s="38">
        <v>41455</v>
      </c>
      <c r="N218" s="48"/>
      <c r="O218" s="35">
        <v>20500</v>
      </c>
      <c r="P218" s="35"/>
      <c r="Q218" s="35"/>
    </row>
    <row r="219" spans="1:17" s="15" customFormat="1" ht="26.25" customHeight="1" x14ac:dyDescent="0.2">
      <c r="A219" s="43" t="s">
        <v>1085</v>
      </c>
      <c r="B219" s="46" t="s">
        <v>1067</v>
      </c>
      <c r="C219" s="44" t="s">
        <v>1092</v>
      </c>
      <c r="D219" s="34">
        <v>5464</v>
      </c>
      <c r="E219" s="46" t="s">
        <v>1096</v>
      </c>
      <c r="F219" s="35">
        <v>30000</v>
      </c>
      <c r="G219" s="40">
        <v>30000</v>
      </c>
      <c r="H219" s="35">
        <v>0</v>
      </c>
      <c r="I219" s="35">
        <f t="shared" si="6"/>
        <v>30000</v>
      </c>
      <c r="J219" s="36">
        <f t="shared" si="7"/>
        <v>0</v>
      </c>
      <c r="K219" s="48" t="s">
        <v>37</v>
      </c>
      <c r="L219" s="48" t="s">
        <v>37</v>
      </c>
      <c r="M219" s="38">
        <v>41547</v>
      </c>
      <c r="N219" s="48"/>
      <c r="O219" s="35">
        <v>30000</v>
      </c>
      <c r="P219" s="35"/>
      <c r="Q219" s="35"/>
    </row>
    <row r="220" spans="1:17" s="15" customFormat="1" ht="26.25" customHeight="1" x14ac:dyDescent="0.2">
      <c r="A220" s="43" t="s">
        <v>722</v>
      </c>
      <c r="B220" s="46" t="s">
        <v>17</v>
      </c>
      <c r="C220" s="44" t="s">
        <v>735</v>
      </c>
      <c r="D220" s="34">
        <v>4514</v>
      </c>
      <c r="E220" s="46" t="s">
        <v>727</v>
      </c>
      <c r="F220" s="35">
        <v>99484</v>
      </c>
      <c r="G220" s="40">
        <v>99484</v>
      </c>
      <c r="H220" s="35">
        <v>0</v>
      </c>
      <c r="I220" s="35">
        <f t="shared" si="6"/>
        <v>99484</v>
      </c>
      <c r="J220" s="36">
        <f t="shared" si="7"/>
        <v>0</v>
      </c>
      <c r="K220" s="48" t="s">
        <v>37</v>
      </c>
      <c r="L220" s="48" t="s">
        <v>42</v>
      </c>
      <c r="M220" s="38">
        <v>41578</v>
      </c>
      <c r="N220" s="37"/>
      <c r="O220" s="35">
        <v>99484</v>
      </c>
      <c r="P220" s="35"/>
      <c r="Q220" s="35"/>
    </row>
    <row r="221" spans="1:17" s="15" customFormat="1" ht="26.25" customHeight="1" x14ac:dyDescent="0.2">
      <c r="A221" s="43" t="s">
        <v>127</v>
      </c>
      <c r="B221" s="46" t="s">
        <v>17</v>
      </c>
      <c r="C221" s="45" t="s">
        <v>130</v>
      </c>
      <c r="D221" s="39">
        <v>4125</v>
      </c>
      <c r="E221" s="46" t="s">
        <v>129</v>
      </c>
      <c r="F221" s="35">
        <v>10000</v>
      </c>
      <c r="G221" s="40">
        <v>10000</v>
      </c>
      <c r="H221" s="35">
        <v>0</v>
      </c>
      <c r="I221" s="35">
        <f t="shared" si="6"/>
        <v>10000</v>
      </c>
      <c r="J221" s="36">
        <f t="shared" si="7"/>
        <v>0</v>
      </c>
      <c r="K221" s="48" t="s">
        <v>37</v>
      </c>
      <c r="L221" s="48" t="s">
        <v>37</v>
      </c>
      <c r="M221" s="38">
        <v>41476</v>
      </c>
      <c r="N221" s="48"/>
      <c r="O221" s="41">
        <v>10000</v>
      </c>
      <c r="P221" s="41"/>
      <c r="Q221" s="41"/>
    </row>
    <row r="222" spans="1:17" s="15" customFormat="1" ht="26.25" customHeight="1" x14ac:dyDescent="0.2">
      <c r="A222" s="43" t="s">
        <v>817</v>
      </c>
      <c r="B222" s="46" t="s">
        <v>825</v>
      </c>
      <c r="C222" s="44" t="s">
        <v>841</v>
      </c>
      <c r="D222" s="34">
        <v>4464</v>
      </c>
      <c r="E222" s="46" t="s">
        <v>853</v>
      </c>
      <c r="F222" s="35">
        <f>12000*3</f>
        <v>36000</v>
      </c>
      <c r="G222" s="40">
        <f>12000*3</f>
        <v>36000</v>
      </c>
      <c r="H222" s="35">
        <v>0</v>
      </c>
      <c r="I222" s="35">
        <f t="shared" si="6"/>
        <v>36000</v>
      </c>
      <c r="J222" s="36">
        <f t="shared" si="7"/>
        <v>0</v>
      </c>
      <c r="K222" s="48" t="s">
        <v>37</v>
      </c>
      <c r="L222" s="48" t="s">
        <v>37</v>
      </c>
      <c r="M222" s="38">
        <v>41455</v>
      </c>
      <c r="N222" s="48" t="s">
        <v>64</v>
      </c>
      <c r="O222" s="35">
        <v>12000</v>
      </c>
      <c r="P222" s="35">
        <v>12000</v>
      </c>
      <c r="Q222" s="35">
        <v>12000</v>
      </c>
    </row>
    <row r="223" spans="1:17" s="15" customFormat="1" ht="26.25" customHeight="1" x14ac:dyDescent="0.2">
      <c r="A223" s="43" t="s">
        <v>439</v>
      </c>
      <c r="B223" s="46" t="s">
        <v>39</v>
      </c>
      <c r="C223" s="44" t="s">
        <v>454</v>
      </c>
      <c r="D223" s="47">
        <v>4381</v>
      </c>
      <c r="E223" s="46" t="s">
        <v>465</v>
      </c>
      <c r="F223" s="35">
        <f>26462*3</f>
        <v>79386</v>
      </c>
      <c r="G223" s="40">
        <f>26462*3</f>
        <v>79386</v>
      </c>
      <c r="H223" s="35">
        <v>0</v>
      </c>
      <c r="I223" s="35">
        <f t="shared" si="6"/>
        <v>79386</v>
      </c>
      <c r="J223" s="36">
        <f t="shared" si="7"/>
        <v>0</v>
      </c>
      <c r="K223" s="48" t="s">
        <v>37</v>
      </c>
      <c r="L223" s="48" t="s">
        <v>37</v>
      </c>
      <c r="M223" s="38">
        <v>41486</v>
      </c>
      <c r="N223" s="48" t="s">
        <v>64</v>
      </c>
      <c r="O223" s="41">
        <v>26462</v>
      </c>
      <c r="P223" s="41">
        <v>26462</v>
      </c>
      <c r="Q223" s="41">
        <v>26462</v>
      </c>
    </row>
    <row r="224" spans="1:17" s="15" customFormat="1" ht="26.25" customHeight="1" x14ac:dyDescent="0.2">
      <c r="A224" s="43" t="s">
        <v>746</v>
      </c>
      <c r="B224" s="46" t="s">
        <v>39</v>
      </c>
      <c r="C224" s="44" t="s">
        <v>763</v>
      </c>
      <c r="D224" s="34">
        <v>4910</v>
      </c>
      <c r="E224" s="46" t="s">
        <v>755</v>
      </c>
      <c r="F224" s="35">
        <f>6281+8000+8000</f>
        <v>22281</v>
      </c>
      <c r="G224" s="40">
        <f>6281+8000+8000</f>
        <v>22281</v>
      </c>
      <c r="H224" s="35">
        <v>0</v>
      </c>
      <c r="I224" s="35">
        <f t="shared" si="6"/>
        <v>22281</v>
      </c>
      <c r="J224" s="36">
        <f t="shared" si="7"/>
        <v>0</v>
      </c>
      <c r="K224" s="48" t="s">
        <v>37</v>
      </c>
      <c r="L224" s="48" t="s">
        <v>37</v>
      </c>
      <c r="M224" s="38">
        <v>41578</v>
      </c>
      <c r="N224" s="48" t="s">
        <v>64</v>
      </c>
      <c r="O224" s="35">
        <v>6281</v>
      </c>
      <c r="P224" s="35">
        <v>8000</v>
      </c>
      <c r="Q224" s="35">
        <v>8000</v>
      </c>
    </row>
    <row r="225" spans="1:17" s="15" customFormat="1" ht="26.25" customHeight="1" x14ac:dyDescent="0.2">
      <c r="A225" s="43" t="s">
        <v>818</v>
      </c>
      <c r="B225" s="46" t="s">
        <v>825</v>
      </c>
      <c r="C225" s="44" t="s">
        <v>842</v>
      </c>
      <c r="D225" s="34">
        <v>4465</v>
      </c>
      <c r="E225" s="46" t="s">
        <v>866</v>
      </c>
      <c r="F225" s="35">
        <f>20000*3</f>
        <v>60000</v>
      </c>
      <c r="G225" s="40">
        <f>20000*3</f>
        <v>60000</v>
      </c>
      <c r="H225" s="35">
        <v>0</v>
      </c>
      <c r="I225" s="35">
        <f t="shared" si="6"/>
        <v>60000</v>
      </c>
      <c r="J225" s="36">
        <f t="shared" si="7"/>
        <v>0</v>
      </c>
      <c r="K225" s="48" t="s">
        <v>37</v>
      </c>
      <c r="L225" s="48" t="s">
        <v>37</v>
      </c>
      <c r="M225" s="38">
        <v>41455</v>
      </c>
      <c r="N225" s="48" t="s">
        <v>64</v>
      </c>
      <c r="O225" s="35">
        <v>20000</v>
      </c>
      <c r="P225" s="35">
        <v>20000</v>
      </c>
      <c r="Q225" s="35">
        <v>20000</v>
      </c>
    </row>
    <row r="226" spans="1:17" s="15" customFormat="1" ht="26.25" customHeight="1" x14ac:dyDescent="0.2">
      <c r="A226" s="43" t="s">
        <v>608</v>
      </c>
      <c r="B226" s="46" t="s">
        <v>39</v>
      </c>
      <c r="C226" s="44" t="s">
        <v>619</v>
      </c>
      <c r="D226" s="34">
        <v>4633</v>
      </c>
      <c r="E226" s="46" t="s">
        <v>628</v>
      </c>
      <c r="F226" s="35">
        <v>99000</v>
      </c>
      <c r="G226" s="40">
        <v>99000</v>
      </c>
      <c r="H226" s="35">
        <v>0</v>
      </c>
      <c r="I226" s="35">
        <f t="shared" si="6"/>
        <v>99000</v>
      </c>
      <c r="J226" s="36">
        <f t="shared" si="7"/>
        <v>0</v>
      </c>
      <c r="K226" s="48" t="s">
        <v>37</v>
      </c>
      <c r="L226" s="48" t="s">
        <v>37</v>
      </c>
      <c r="M226" s="38">
        <v>41455</v>
      </c>
      <c r="N226" s="48"/>
      <c r="O226" s="35">
        <v>99000</v>
      </c>
      <c r="P226" s="35"/>
      <c r="Q226" s="35"/>
    </row>
    <row r="227" spans="1:17" s="15" customFormat="1" ht="26.25" customHeight="1" x14ac:dyDescent="0.2">
      <c r="A227" s="43" t="s">
        <v>263</v>
      </c>
      <c r="B227" s="46" t="s">
        <v>49</v>
      </c>
      <c r="C227" s="44" t="s">
        <v>111</v>
      </c>
      <c r="D227" s="47">
        <v>4257</v>
      </c>
      <c r="E227" s="46" t="s">
        <v>109</v>
      </c>
      <c r="F227" s="35">
        <v>75000</v>
      </c>
      <c r="G227" s="40">
        <v>75000</v>
      </c>
      <c r="H227" s="35">
        <v>0</v>
      </c>
      <c r="I227" s="35">
        <f t="shared" si="6"/>
        <v>75000</v>
      </c>
      <c r="J227" s="36">
        <f t="shared" si="7"/>
        <v>0</v>
      </c>
      <c r="K227" s="48" t="s">
        <v>37</v>
      </c>
      <c r="L227" s="48" t="s">
        <v>37</v>
      </c>
      <c r="M227" s="38">
        <v>41455</v>
      </c>
      <c r="N227" s="37"/>
      <c r="O227" s="41">
        <v>75000</v>
      </c>
      <c r="P227" s="41"/>
      <c r="Q227" s="41"/>
    </row>
    <row r="228" spans="1:17" s="15" customFormat="1" ht="26.25" customHeight="1" x14ac:dyDescent="0.2">
      <c r="A228" s="43" t="s">
        <v>824</v>
      </c>
      <c r="B228" s="46" t="s">
        <v>39</v>
      </c>
      <c r="C228" s="44" t="s">
        <v>847</v>
      </c>
      <c r="D228" s="34">
        <v>4966</v>
      </c>
      <c r="E228" s="46" t="s">
        <v>862</v>
      </c>
      <c r="F228" s="35">
        <f>11071*3</f>
        <v>33213</v>
      </c>
      <c r="G228" s="40">
        <f>11071*3</f>
        <v>33213</v>
      </c>
      <c r="H228" s="35">
        <v>0</v>
      </c>
      <c r="I228" s="35">
        <f t="shared" si="6"/>
        <v>33213</v>
      </c>
      <c r="J228" s="36">
        <f t="shared" si="7"/>
        <v>0</v>
      </c>
      <c r="K228" s="48" t="s">
        <v>37</v>
      </c>
      <c r="L228" s="48" t="s">
        <v>37</v>
      </c>
      <c r="M228" s="38">
        <v>41578</v>
      </c>
      <c r="N228" s="48" t="s">
        <v>64</v>
      </c>
      <c r="O228" s="35">
        <v>11071</v>
      </c>
      <c r="P228" s="35">
        <v>11071</v>
      </c>
      <c r="Q228" s="35">
        <v>11071</v>
      </c>
    </row>
    <row r="229" spans="1:17" s="15" customFormat="1" ht="26.25" customHeight="1" x14ac:dyDescent="0.2">
      <c r="A229" s="43" t="s">
        <v>133</v>
      </c>
      <c r="B229" s="46" t="s">
        <v>39</v>
      </c>
      <c r="C229" s="44" t="s">
        <v>141</v>
      </c>
      <c r="D229" s="34">
        <v>3881</v>
      </c>
      <c r="E229" s="46" t="s">
        <v>137</v>
      </c>
      <c r="F229" s="35">
        <v>98000</v>
      </c>
      <c r="G229" s="40">
        <v>98000</v>
      </c>
      <c r="H229" s="35">
        <v>0</v>
      </c>
      <c r="I229" s="35">
        <f t="shared" si="6"/>
        <v>98000</v>
      </c>
      <c r="J229" s="36">
        <f t="shared" si="7"/>
        <v>0</v>
      </c>
      <c r="K229" s="48" t="s">
        <v>37</v>
      </c>
      <c r="L229" s="48" t="s">
        <v>37</v>
      </c>
      <c r="M229" s="38">
        <v>41090</v>
      </c>
      <c r="N229" s="37"/>
      <c r="O229" s="41">
        <v>98000</v>
      </c>
      <c r="P229" s="41"/>
      <c r="Q229" s="41"/>
    </row>
    <row r="230" spans="1:17" s="15" customFormat="1" ht="26.25" customHeight="1" x14ac:dyDescent="0.2">
      <c r="A230" s="43" t="s">
        <v>444</v>
      </c>
      <c r="B230" s="46" t="s">
        <v>17</v>
      </c>
      <c r="C230" s="44" t="s">
        <v>457</v>
      </c>
      <c r="D230" s="47">
        <v>4312</v>
      </c>
      <c r="E230" s="46" t="s">
        <v>470</v>
      </c>
      <c r="F230" s="35">
        <f>10680*3</f>
        <v>32040</v>
      </c>
      <c r="G230" s="40">
        <f>10680*2</f>
        <v>21360</v>
      </c>
      <c r="H230" s="35">
        <v>0</v>
      </c>
      <c r="I230" s="35">
        <f t="shared" si="6"/>
        <v>21360</v>
      </c>
      <c r="J230" s="36">
        <f t="shared" si="7"/>
        <v>0</v>
      </c>
      <c r="K230" s="48" t="s">
        <v>37</v>
      </c>
      <c r="L230" s="48" t="s">
        <v>37</v>
      </c>
      <c r="M230" s="38">
        <v>41455</v>
      </c>
      <c r="N230" s="48" t="s">
        <v>64</v>
      </c>
      <c r="O230" s="41">
        <v>10680</v>
      </c>
      <c r="P230" s="41">
        <v>10680</v>
      </c>
      <c r="Q230" s="41">
        <v>10680</v>
      </c>
    </row>
    <row r="231" spans="1:17" s="15" customFormat="1" ht="26.25" customHeight="1" x14ac:dyDescent="0.2">
      <c r="A231" s="43" t="s">
        <v>607</v>
      </c>
      <c r="B231" s="46" t="s">
        <v>39</v>
      </c>
      <c r="C231" s="44" t="s">
        <v>618</v>
      </c>
      <c r="D231" s="34">
        <v>4629</v>
      </c>
      <c r="E231" s="46" t="s">
        <v>627</v>
      </c>
      <c r="F231" s="35">
        <v>50000</v>
      </c>
      <c r="G231" s="40">
        <v>50000</v>
      </c>
      <c r="H231" s="35">
        <v>0</v>
      </c>
      <c r="I231" s="35">
        <f t="shared" si="6"/>
        <v>50000</v>
      </c>
      <c r="J231" s="36">
        <f t="shared" si="7"/>
        <v>0</v>
      </c>
      <c r="K231" s="48" t="s">
        <v>37</v>
      </c>
      <c r="L231" s="48" t="s">
        <v>37</v>
      </c>
      <c r="M231" s="38">
        <v>41455</v>
      </c>
      <c r="N231" s="48"/>
      <c r="O231" s="35">
        <v>50000</v>
      </c>
      <c r="P231" s="35"/>
      <c r="Q231" s="35"/>
    </row>
    <row r="232" spans="1:17" s="15" customFormat="1" ht="38.25" customHeight="1" x14ac:dyDescent="0.2">
      <c r="A232" s="43" t="s">
        <v>1179</v>
      </c>
      <c r="B232" s="46" t="s">
        <v>39</v>
      </c>
      <c r="C232" s="44" t="s">
        <v>618</v>
      </c>
      <c r="D232" s="47" t="s">
        <v>1182</v>
      </c>
      <c r="E232" s="46" t="s">
        <v>1184</v>
      </c>
      <c r="F232" s="35">
        <v>49000</v>
      </c>
      <c r="G232" s="40">
        <v>50000</v>
      </c>
      <c r="H232" s="35">
        <v>49000</v>
      </c>
      <c r="I232" s="35">
        <f t="shared" si="6"/>
        <v>99000</v>
      </c>
      <c r="J232" s="36">
        <f t="shared" si="7"/>
        <v>0.98</v>
      </c>
      <c r="K232" s="48" t="s">
        <v>37</v>
      </c>
      <c r="L232" s="48" t="s">
        <v>37</v>
      </c>
      <c r="M232" s="38">
        <v>41455</v>
      </c>
      <c r="N232" s="48" t="s">
        <v>36</v>
      </c>
      <c r="O232" s="35">
        <v>49000</v>
      </c>
      <c r="P232" s="35"/>
      <c r="Q232" s="35"/>
    </row>
    <row r="233" spans="1:17" s="15" customFormat="1" ht="38.25" customHeight="1" x14ac:dyDescent="0.2">
      <c r="A233" s="43" t="s">
        <v>1376</v>
      </c>
      <c r="B233" s="46" t="s">
        <v>75</v>
      </c>
      <c r="C233" s="44" t="s">
        <v>1379</v>
      </c>
      <c r="D233" s="34">
        <v>5948</v>
      </c>
      <c r="E233" s="46" t="s">
        <v>1385</v>
      </c>
      <c r="F233" s="35">
        <v>24000</v>
      </c>
      <c r="G233" s="40">
        <v>24000</v>
      </c>
      <c r="H233" s="35">
        <v>0</v>
      </c>
      <c r="I233" s="35">
        <f t="shared" si="6"/>
        <v>24000</v>
      </c>
      <c r="J233" s="36">
        <f t="shared" si="7"/>
        <v>0</v>
      </c>
      <c r="K233" s="48" t="s">
        <v>37</v>
      </c>
      <c r="L233" s="48" t="s">
        <v>42</v>
      </c>
      <c r="M233" s="38">
        <v>41820</v>
      </c>
      <c r="N233" s="48"/>
      <c r="O233" s="49">
        <v>24000</v>
      </c>
      <c r="P233" s="35"/>
      <c r="Q233" s="35"/>
    </row>
    <row r="234" spans="1:17" s="15" customFormat="1" ht="26.25" customHeight="1" x14ac:dyDescent="0.2">
      <c r="A234" s="43" t="s">
        <v>157</v>
      </c>
      <c r="B234" s="46" t="s">
        <v>18</v>
      </c>
      <c r="C234" s="44" t="s">
        <v>210</v>
      </c>
      <c r="D234" s="47">
        <v>3968</v>
      </c>
      <c r="E234" s="46" t="s">
        <v>185</v>
      </c>
      <c r="F234" s="35">
        <v>20000</v>
      </c>
      <c r="G234" s="40">
        <v>20000</v>
      </c>
      <c r="H234" s="35">
        <v>0</v>
      </c>
      <c r="I234" s="35">
        <f t="shared" si="6"/>
        <v>20000</v>
      </c>
      <c r="J234" s="36">
        <f t="shared" si="7"/>
        <v>0</v>
      </c>
      <c r="K234" s="48" t="s">
        <v>37</v>
      </c>
      <c r="L234" s="48" t="s">
        <v>37</v>
      </c>
      <c r="M234" s="38">
        <v>41455</v>
      </c>
      <c r="N234" s="37"/>
      <c r="O234" s="41">
        <v>20000</v>
      </c>
      <c r="P234" s="41"/>
      <c r="Q234" s="41"/>
    </row>
    <row r="235" spans="1:17" s="15" customFormat="1" ht="26.25" customHeight="1" x14ac:dyDescent="0.2">
      <c r="A235" s="43" t="s">
        <v>941</v>
      </c>
      <c r="B235" s="46" t="s">
        <v>39</v>
      </c>
      <c r="C235" s="44" t="s">
        <v>948</v>
      </c>
      <c r="D235" s="34">
        <v>5153</v>
      </c>
      <c r="E235" s="46" t="s">
        <v>954</v>
      </c>
      <c r="F235" s="35">
        <v>69600</v>
      </c>
      <c r="G235" s="40">
        <v>69600</v>
      </c>
      <c r="H235" s="35">
        <v>0</v>
      </c>
      <c r="I235" s="35">
        <f t="shared" si="6"/>
        <v>69600</v>
      </c>
      <c r="J235" s="36">
        <f t="shared" si="7"/>
        <v>0</v>
      </c>
      <c r="K235" s="48" t="s">
        <v>37</v>
      </c>
      <c r="L235" s="48" t="s">
        <v>42</v>
      </c>
      <c r="M235" s="38">
        <v>41455</v>
      </c>
      <c r="N235" s="37"/>
      <c r="O235" s="35">
        <v>69600</v>
      </c>
      <c r="P235" s="35"/>
      <c r="Q235" s="35"/>
    </row>
    <row r="236" spans="1:17" s="15" customFormat="1" ht="26.25" customHeight="1" x14ac:dyDescent="0.2">
      <c r="A236" s="43" t="s">
        <v>331</v>
      </c>
      <c r="B236" s="46" t="s">
        <v>26</v>
      </c>
      <c r="C236" s="44" t="s">
        <v>30</v>
      </c>
      <c r="D236" s="47" t="s">
        <v>377</v>
      </c>
      <c r="E236" s="46" t="s">
        <v>33</v>
      </c>
      <c r="F236" s="35">
        <v>25000</v>
      </c>
      <c r="G236" s="40">
        <v>25000</v>
      </c>
      <c r="H236" s="35">
        <v>0</v>
      </c>
      <c r="I236" s="35">
        <f t="shared" si="6"/>
        <v>25000</v>
      </c>
      <c r="J236" s="36">
        <f t="shared" si="7"/>
        <v>0</v>
      </c>
      <c r="K236" s="48" t="s">
        <v>37</v>
      </c>
      <c r="L236" s="48" t="s">
        <v>37</v>
      </c>
      <c r="M236" s="38">
        <v>41455</v>
      </c>
      <c r="N236" s="37"/>
      <c r="O236" s="41">
        <v>25000</v>
      </c>
      <c r="P236" s="41"/>
      <c r="Q236" s="41"/>
    </row>
    <row r="237" spans="1:17" s="15" customFormat="1" ht="26.25" customHeight="1" x14ac:dyDescent="0.2">
      <c r="A237" s="43" t="s">
        <v>719</v>
      </c>
      <c r="B237" s="46" t="s">
        <v>49</v>
      </c>
      <c r="C237" s="44" t="s">
        <v>732</v>
      </c>
      <c r="D237" s="34">
        <v>4824</v>
      </c>
      <c r="E237" s="46" t="s">
        <v>724</v>
      </c>
      <c r="F237" s="35">
        <v>95000</v>
      </c>
      <c r="G237" s="40">
        <v>95000</v>
      </c>
      <c r="H237" s="35">
        <v>0</v>
      </c>
      <c r="I237" s="35">
        <f t="shared" si="6"/>
        <v>95000</v>
      </c>
      <c r="J237" s="36">
        <f t="shared" si="7"/>
        <v>0</v>
      </c>
      <c r="K237" s="48" t="s">
        <v>37</v>
      </c>
      <c r="L237" s="48" t="s">
        <v>42</v>
      </c>
      <c r="M237" s="38">
        <v>41455</v>
      </c>
      <c r="N237" s="37"/>
      <c r="O237" s="35">
        <v>95000</v>
      </c>
      <c r="P237" s="35"/>
      <c r="Q237" s="35"/>
    </row>
    <row r="238" spans="1:17" s="15" customFormat="1" ht="26.25" customHeight="1" x14ac:dyDescent="0.2">
      <c r="A238" s="43" t="s">
        <v>1389</v>
      </c>
      <c r="B238" s="46" t="s">
        <v>18</v>
      </c>
      <c r="C238" s="44" t="s">
        <v>1396</v>
      </c>
      <c r="D238" s="47" t="s">
        <v>1400</v>
      </c>
      <c r="E238" s="46" t="s">
        <v>1405</v>
      </c>
      <c r="F238" s="35">
        <v>20000</v>
      </c>
      <c r="G238" s="40">
        <v>5000</v>
      </c>
      <c r="H238" s="35">
        <v>20000</v>
      </c>
      <c r="I238" s="35">
        <f t="shared" si="6"/>
        <v>25000</v>
      </c>
      <c r="J238" s="36">
        <f t="shared" si="7"/>
        <v>4</v>
      </c>
      <c r="K238" s="48" t="s">
        <v>37</v>
      </c>
      <c r="L238" s="48" t="s">
        <v>37</v>
      </c>
      <c r="M238" s="52" t="s">
        <v>69</v>
      </c>
      <c r="N238" s="48" t="s">
        <v>36</v>
      </c>
      <c r="O238" s="35">
        <v>20000</v>
      </c>
      <c r="P238" s="35"/>
      <c r="Q238" s="35"/>
    </row>
    <row r="239" spans="1:17" s="15" customFormat="1" ht="26.25" customHeight="1" x14ac:dyDescent="0.2">
      <c r="A239" s="43" t="s">
        <v>260</v>
      </c>
      <c r="B239" s="46" t="s">
        <v>26</v>
      </c>
      <c r="C239" s="44" t="s">
        <v>291</v>
      </c>
      <c r="D239" s="47" t="s">
        <v>295</v>
      </c>
      <c r="E239" s="46" t="s">
        <v>276</v>
      </c>
      <c r="F239" s="35">
        <v>99000</v>
      </c>
      <c r="G239" s="40">
        <v>99000</v>
      </c>
      <c r="H239" s="35">
        <v>0</v>
      </c>
      <c r="I239" s="35">
        <f t="shared" si="6"/>
        <v>99000</v>
      </c>
      <c r="J239" s="36">
        <f t="shared" si="7"/>
        <v>0</v>
      </c>
      <c r="K239" s="48" t="s">
        <v>37</v>
      </c>
      <c r="L239" s="48" t="s">
        <v>37</v>
      </c>
      <c r="M239" s="38">
        <v>41455</v>
      </c>
      <c r="N239" s="37"/>
      <c r="O239" s="41">
        <v>99000</v>
      </c>
      <c r="P239" s="41"/>
      <c r="Q239" s="41"/>
    </row>
    <row r="240" spans="1:17" s="15" customFormat="1" ht="38.25" customHeight="1" x14ac:dyDescent="0.2">
      <c r="A240" s="43" t="s">
        <v>304</v>
      </c>
      <c r="B240" s="46" t="s">
        <v>48</v>
      </c>
      <c r="C240" s="44" t="s">
        <v>310</v>
      </c>
      <c r="D240" s="47">
        <v>4266</v>
      </c>
      <c r="E240" s="46" t="s">
        <v>316</v>
      </c>
      <c r="F240" s="35">
        <v>39819</v>
      </c>
      <c r="G240" s="40">
        <v>39819</v>
      </c>
      <c r="H240" s="35">
        <v>0</v>
      </c>
      <c r="I240" s="35">
        <f t="shared" si="6"/>
        <v>39819</v>
      </c>
      <c r="J240" s="36">
        <f t="shared" si="7"/>
        <v>0</v>
      </c>
      <c r="K240" s="48" t="s">
        <v>37</v>
      </c>
      <c r="L240" s="48" t="s">
        <v>37</v>
      </c>
      <c r="M240" s="38">
        <v>41182</v>
      </c>
      <c r="N240" s="48"/>
      <c r="O240" s="41">
        <v>39819</v>
      </c>
      <c r="P240" s="41"/>
      <c r="Q240" s="41"/>
    </row>
    <row r="241" spans="1:17" s="15" customFormat="1" ht="26.25" customHeight="1" x14ac:dyDescent="0.2">
      <c r="A241" s="43" t="s">
        <v>330</v>
      </c>
      <c r="B241" s="46" t="s">
        <v>26</v>
      </c>
      <c r="C241" s="44" t="s">
        <v>349</v>
      </c>
      <c r="D241" s="47" t="s">
        <v>376</v>
      </c>
      <c r="E241" s="46" t="s">
        <v>33</v>
      </c>
      <c r="F241" s="35">
        <v>20000</v>
      </c>
      <c r="G241" s="40">
        <v>20000</v>
      </c>
      <c r="H241" s="35">
        <v>0</v>
      </c>
      <c r="I241" s="35">
        <f t="shared" si="6"/>
        <v>20000</v>
      </c>
      <c r="J241" s="36">
        <f t="shared" si="7"/>
        <v>0</v>
      </c>
      <c r="K241" s="48" t="s">
        <v>37</v>
      </c>
      <c r="L241" s="48" t="s">
        <v>37</v>
      </c>
      <c r="M241" s="38">
        <v>41455</v>
      </c>
      <c r="N241" s="48"/>
      <c r="O241" s="41">
        <v>20000</v>
      </c>
      <c r="P241" s="41"/>
      <c r="Q241" s="41"/>
    </row>
    <row r="242" spans="1:17" s="15" customFormat="1" ht="26.25" customHeight="1" x14ac:dyDescent="0.2">
      <c r="A242" s="43" t="s">
        <v>921</v>
      </c>
      <c r="B242" s="46" t="s">
        <v>18</v>
      </c>
      <c r="C242" s="44" t="s">
        <v>926</v>
      </c>
      <c r="D242" s="34">
        <v>5019</v>
      </c>
      <c r="E242" s="46" t="s">
        <v>931</v>
      </c>
      <c r="F242" s="35">
        <v>20000</v>
      </c>
      <c r="G242" s="40">
        <v>4999</v>
      </c>
      <c r="H242" s="35">
        <f>10000+20000</f>
        <v>30000</v>
      </c>
      <c r="I242" s="35">
        <f t="shared" si="6"/>
        <v>34999</v>
      </c>
      <c r="J242" s="36">
        <f t="shared" si="7"/>
        <v>6.0012002400480098</v>
      </c>
      <c r="K242" s="48" t="s">
        <v>37</v>
      </c>
      <c r="L242" s="48" t="s">
        <v>37</v>
      </c>
      <c r="M242" s="52" t="s">
        <v>69</v>
      </c>
      <c r="N242" s="48" t="s">
        <v>36</v>
      </c>
      <c r="O242" s="35">
        <v>20000</v>
      </c>
      <c r="P242" s="35"/>
      <c r="Q242" s="35"/>
    </row>
    <row r="243" spans="1:17" s="15" customFormat="1" ht="26.25" customHeight="1" x14ac:dyDescent="0.2">
      <c r="A243" s="43" t="s">
        <v>935</v>
      </c>
      <c r="B243" s="46" t="s">
        <v>80</v>
      </c>
      <c r="C243" s="44" t="s">
        <v>942</v>
      </c>
      <c r="D243" s="34">
        <v>5119</v>
      </c>
      <c r="E243" s="46" t="s">
        <v>949</v>
      </c>
      <c r="F243" s="35">
        <v>96000</v>
      </c>
      <c r="G243" s="40">
        <v>96000</v>
      </c>
      <c r="H243" s="35">
        <v>0</v>
      </c>
      <c r="I243" s="35">
        <f t="shared" si="6"/>
        <v>96000</v>
      </c>
      <c r="J243" s="36">
        <f t="shared" si="7"/>
        <v>0</v>
      </c>
      <c r="K243" s="48" t="s">
        <v>37</v>
      </c>
      <c r="L243" s="48" t="s">
        <v>37</v>
      </c>
      <c r="M243" s="38">
        <v>41455</v>
      </c>
      <c r="N243" s="37"/>
      <c r="O243" s="35">
        <v>96000</v>
      </c>
      <c r="P243" s="35"/>
      <c r="Q243" s="35"/>
    </row>
    <row r="244" spans="1:17" s="15" customFormat="1" ht="26.25" customHeight="1" x14ac:dyDescent="0.2">
      <c r="A244" s="43" t="s">
        <v>329</v>
      </c>
      <c r="B244" s="46" t="s">
        <v>26</v>
      </c>
      <c r="C244" s="44" t="s">
        <v>29</v>
      </c>
      <c r="D244" s="47" t="s">
        <v>375</v>
      </c>
      <c r="E244" s="46" t="s">
        <v>33</v>
      </c>
      <c r="F244" s="35">
        <v>25000</v>
      </c>
      <c r="G244" s="40">
        <v>25000</v>
      </c>
      <c r="H244" s="35">
        <v>0</v>
      </c>
      <c r="I244" s="35">
        <f t="shared" si="6"/>
        <v>25000</v>
      </c>
      <c r="J244" s="36">
        <f t="shared" si="7"/>
        <v>0</v>
      </c>
      <c r="K244" s="48" t="s">
        <v>37</v>
      </c>
      <c r="L244" s="48" t="s">
        <v>37</v>
      </c>
      <c r="M244" s="38">
        <v>41455</v>
      </c>
      <c r="N244" s="37"/>
      <c r="O244" s="41">
        <v>25000</v>
      </c>
      <c r="P244" s="41"/>
      <c r="Q244" s="41"/>
    </row>
    <row r="245" spans="1:17" s="15" customFormat="1" ht="26.25" customHeight="1" x14ac:dyDescent="0.2">
      <c r="A245" s="43" t="s">
        <v>720</v>
      </c>
      <c r="B245" s="46" t="s">
        <v>49</v>
      </c>
      <c r="C245" s="44" t="s">
        <v>733</v>
      </c>
      <c r="D245" s="34">
        <v>4825</v>
      </c>
      <c r="E245" s="46" t="s">
        <v>724</v>
      </c>
      <c r="F245" s="35">
        <v>95000</v>
      </c>
      <c r="G245" s="40">
        <v>95000</v>
      </c>
      <c r="H245" s="35">
        <v>0</v>
      </c>
      <c r="I245" s="35">
        <f t="shared" si="6"/>
        <v>95000</v>
      </c>
      <c r="J245" s="36">
        <f t="shared" si="7"/>
        <v>0</v>
      </c>
      <c r="K245" s="48" t="s">
        <v>37</v>
      </c>
      <c r="L245" s="48" t="s">
        <v>42</v>
      </c>
      <c r="M245" s="38">
        <v>41455</v>
      </c>
      <c r="N245" s="37"/>
      <c r="O245" s="35">
        <v>95000</v>
      </c>
      <c r="P245" s="35"/>
      <c r="Q245" s="35"/>
    </row>
    <row r="246" spans="1:17" s="15" customFormat="1" ht="26.25" customHeight="1" x14ac:dyDescent="0.2">
      <c r="A246" s="43" t="s">
        <v>970</v>
      </c>
      <c r="B246" s="46" t="s">
        <v>17</v>
      </c>
      <c r="C246" s="44" t="s">
        <v>974</v>
      </c>
      <c r="D246" s="34">
        <v>5000</v>
      </c>
      <c r="E246" s="46" t="s">
        <v>980</v>
      </c>
      <c r="F246" s="35">
        <v>16350</v>
      </c>
      <c r="G246" s="40">
        <v>16350</v>
      </c>
      <c r="H246" s="35">
        <v>0</v>
      </c>
      <c r="I246" s="35">
        <f t="shared" si="6"/>
        <v>16350</v>
      </c>
      <c r="J246" s="36">
        <f t="shared" si="7"/>
        <v>0</v>
      </c>
      <c r="K246" s="48" t="s">
        <v>42</v>
      </c>
      <c r="L246" s="48" t="s">
        <v>42</v>
      </c>
      <c r="M246" s="38">
        <v>41639</v>
      </c>
      <c r="N246" s="37"/>
      <c r="O246" s="35">
        <v>16350</v>
      </c>
      <c r="P246" s="35"/>
      <c r="Q246" s="35"/>
    </row>
    <row r="247" spans="1:17" s="15" customFormat="1" ht="26.25" customHeight="1" x14ac:dyDescent="0.2">
      <c r="A247" s="43" t="s">
        <v>1410</v>
      </c>
      <c r="B247" s="46" t="s">
        <v>66</v>
      </c>
      <c r="C247" s="44" t="s">
        <v>974</v>
      </c>
      <c r="D247" s="34">
        <v>6149</v>
      </c>
      <c r="E247" s="46" t="s">
        <v>1417</v>
      </c>
      <c r="F247" s="35">
        <f>74010*3</f>
        <v>222030</v>
      </c>
      <c r="G247" s="40">
        <f>74010*3</f>
        <v>222030</v>
      </c>
      <c r="H247" s="35">
        <v>0</v>
      </c>
      <c r="I247" s="35">
        <f t="shared" si="6"/>
        <v>222030</v>
      </c>
      <c r="J247" s="36">
        <f t="shared" si="7"/>
        <v>0</v>
      </c>
      <c r="K247" s="48" t="s">
        <v>37</v>
      </c>
      <c r="L247" s="48" t="s">
        <v>42</v>
      </c>
      <c r="M247" s="38">
        <v>41790</v>
      </c>
      <c r="N247" s="48" t="s">
        <v>64</v>
      </c>
      <c r="O247" s="35">
        <v>74010</v>
      </c>
      <c r="P247" s="35">
        <v>74010</v>
      </c>
      <c r="Q247" s="35">
        <v>74010</v>
      </c>
    </row>
    <row r="248" spans="1:17" s="15" customFormat="1" ht="26.25" customHeight="1" x14ac:dyDescent="0.2">
      <c r="A248" s="43" t="s">
        <v>399</v>
      </c>
      <c r="B248" s="46" t="s">
        <v>92</v>
      </c>
      <c r="C248" s="44" t="s">
        <v>112</v>
      </c>
      <c r="D248" s="47" t="s">
        <v>420</v>
      </c>
      <c r="E248" s="46" t="s">
        <v>430</v>
      </c>
      <c r="F248" s="35">
        <v>10080</v>
      </c>
      <c r="G248" s="40">
        <v>10080</v>
      </c>
      <c r="H248" s="35">
        <v>10080</v>
      </c>
      <c r="I248" s="35">
        <f t="shared" si="6"/>
        <v>20160</v>
      </c>
      <c r="J248" s="36">
        <f t="shared" si="7"/>
        <v>1</v>
      </c>
      <c r="K248" s="48" t="s">
        <v>37</v>
      </c>
      <c r="L248" s="48" t="s">
        <v>37</v>
      </c>
      <c r="M248" s="38">
        <v>41455</v>
      </c>
      <c r="N248" s="48" t="s">
        <v>36</v>
      </c>
      <c r="O248" s="41">
        <v>10080</v>
      </c>
      <c r="P248" s="41"/>
      <c r="Q248" s="41"/>
    </row>
    <row r="249" spans="1:17" s="15" customFormat="1" ht="26.25" customHeight="1" x14ac:dyDescent="0.2">
      <c r="A249" s="43" t="s">
        <v>889</v>
      </c>
      <c r="B249" s="46" t="s">
        <v>17</v>
      </c>
      <c r="C249" s="44" t="s">
        <v>112</v>
      </c>
      <c r="D249" s="34">
        <v>4746</v>
      </c>
      <c r="E249" s="46" t="s">
        <v>884</v>
      </c>
      <c r="F249" s="35">
        <v>29820</v>
      </c>
      <c r="G249" s="40">
        <v>10080</v>
      </c>
      <c r="H249" s="35">
        <f>10080+29820</f>
        <v>39900</v>
      </c>
      <c r="I249" s="35">
        <f t="shared" si="6"/>
        <v>49980</v>
      </c>
      <c r="J249" s="36">
        <f t="shared" si="7"/>
        <v>3.9583333333333335</v>
      </c>
      <c r="K249" s="48" t="s">
        <v>37</v>
      </c>
      <c r="L249" s="48" t="s">
        <v>37</v>
      </c>
      <c r="M249" s="38">
        <v>41455</v>
      </c>
      <c r="N249" s="48" t="s">
        <v>36</v>
      </c>
      <c r="O249" s="35">
        <v>29820</v>
      </c>
      <c r="P249" s="35"/>
      <c r="Q249" s="35"/>
    </row>
    <row r="250" spans="1:17" s="15" customFormat="1" ht="18" customHeight="1" x14ac:dyDescent="0.2">
      <c r="A250" s="43" t="s">
        <v>446</v>
      </c>
      <c r="B250" s="46" t="s">
        <v>50</v>
      </c>
      <c r="C250" s="44" t="s">
        <v>458</v>
      </c>
      <c r="D250" s="47">
        <v>4308</v>
      </c>
      <c r="E250" s="46" t="s">
        <v>472</v>
      </c>
      <c r="F250" s="35">
        <v>9000</v>
      </c>
      <c r="G250" s="40">
        <v>9000</v>
      </c>
      <c r="H250" s="35">
        <v>0</v>
      </c>
      <c r="I250" s="35">
        <f t="shared" si="6"/>
        <v>9000</v>
      </c>
      <c r="J250" s="36">
        <f t="shared" si="7"/>
        <v>0</v>
      </c>
      <c r="K250" s="48" t="s">
        <v>37</v>
      </c>
      <c r="L250" s="48" t="s">
        <v>37</v>
      </c>
      <c r="M250" s="38">
        <v>41274</v>
      </c>
      <c r="N250" s="48"/>
      <c r="O250" s="41">
        <v>9000</v>
      </c>
      <c r="P250" s="41"/>
      <c r="Q250" s="41"/>
    </row>
    <row r="251" spans="1:17" s="15" customFormat="1" ht="26.25" customHeight="1" x14ac:dyDescent="0.2">
      <c r="A251" s="43" t="s">
        <v>1387</v>
      </c>
      <c r="B251" s="46" t="s">
        <v>18</v>
      </c>
      <c r="C251" s="44" t="s">
        <v>1394</v>
      </c>
      <c r="D251" s="47" t="s">
        <v>1399</v>
      </c>
      <c r="E251" s="46" t="s">
        <v>1403</v>
      </c>
      <c r="F251" s="35">
        <v>15000</v>
      </c>
      <c r="G251" s="40">
        <v>5000</v>
      </c>
      <c r="H251" s="35">
        <v>15000</v>
      </c>
      <c r="I251" s="35">
        <f t="shared" si="6"/>
        <v>20000</v>
      </c>
      <c r="J251" s="36">
        <f t="shared" si="7"/>
        <v>3</v>
      </c>
      <c r="K251" s="48" t="s">
        <v>37</v>
      </c>
      <c r="L251" s="48" t="s">
        <v>37</v>
      </c>
      <c r="M251" s="52" t="s">
        <v>69</v>
      </c>
      <c r="N251" s="48" t="s">
        <v>36</v>
      </c>
      <c r="O251" s="49">
        <v>15000</v>
      </c>
      <c r="P251" s="35"/>
      <c r="Q251" s="35"/>
    </row>
    <row r="252" spans="1:17" s="15" customFormat="1" ht="26.25" customHeight="1" x14ac:dyDescent="0.2">
      <c r="A252" s="43" t="s">
        <v>601</v>
      </c>
      <c r="B252" s="46" t="s">
        <v>75</v>
      </c>
      <c r="C252" s="44" t="s">
        <v>682</v>
      </c>
      <c r="D252" s="34">
        <v>4236</v>
      </c>
      <c r="E252" s="46" t="s">
        <v>664</v>
      </c>
      <c r="F252" s="35">
        <v>18000</v>
      </c>
      <c r="G252" s="40">
        <v>18000</v>
      </c>
      <c r="H252" s="35">
        <v>0</v>
      </c>
      <c r="I252" s="35">
        <f t="shared" si="6"/>
        <v>18000</v>
      </c>
      <c r="J252" s="36">
        <f t="shared" si="7"/>
        <v>0</v>
      </c>
      <c r="K252" s="48" t="s">
        <v>37</v>
      </c>
      <c r="L252" s="48" t="s">
        <v>37</v>
      </c>
      <c r="M252" s="38">
        <v>41455</v>
      </c>
      <c r="N252" s="48"/>
      <c r="O252" s="35">
        <v>18000</v>
      </c>
      <c r="P252" s="35"/>
      <c r="Q252" s="35"/>
    </row>
    <row r="253" spans="1:17" s="15" customFormat="1" ht="26.25" customHeight="1" x14ac:dyDescent="0.2">
      <c r="A253" s="43" t="s">
        <v>602</v>
      </c>
      <c r="B253" s="46" t="s">
        <v>75</v>
      </c>
      <c r="C253" s="44" t="s">
        <v>682</v>
      </c>
      <c r="D253" s="34">
        <v>4608</v>
      </c>
      <c r="E253" s="46" t="s">
        <v>665</v>
      </c>
      <c r="F253" s="35">
        <v>22000</v>
      </c>
      <c r="G253" s="40">
        <v>22000</v>
      </c>
      <c r="H253" s="35">
        <v>0</v>
      </c>
      <c r="I253" s="35">
        <f t="shared" si="6"/>
        <v>22000</v>
      </c>
      <c r="J253" s="36">
        <f t="shared" si="7"/>
        <v>0</v>
      </c>
      <c r="K253" s="48" t="s">
        <v>37</v>
      </c>
      <c r="L253" s="48" t="s">
        <v>37</v>
      </c>
      <c r="M253" s="38">
        <v>41455</v>
      </c>
      <c r="N253" s="48"/>
      <c r="O253" s="35">
        <v>22000</v>
      </c>
      <c r="P253" s="35"/>
      <c r="Q253" s="35"/>
    </row>
    <row r="254" spans="1:17" s="15" customFormat="1" ht="26.25" customHeight="1" x14ac:dyDescent="0.2">
      <c r="A254" s="43" t="s">
        <v>390</v>
      </c>
      <c r="B254" s="46" t="s">
        <v>39</v>
      </c>
      <c r="C254" s="44" t="s">
        <v>100</v>
      </c>
      <c r="D254" s="47" t="s">
        <v>419</v>
      </c>
      <c r="E254" s="46" t="s">
        <v>101</v>
      </c>
      <c r="F254" s="35">
        <v>25600</v>
      </c>
      <c r="G254" s="40">
        <v>25000</v>
      </c>
      <c r="H254" s="35">
        <v>25600</v>
      </c>
      <c r="I254" s="35">
        <f t="shared" si="6"/>
        <v>50600</v>
      </c>
      <c r="J254" s="36">
        <f t="shared" si="7"/>
        <v>1.024</v>
      </c>
      <c r="K254" s="48" t="s">
        <v>37</v>
      </c>
      <c r="L254" s="48" t="s">
        <v>37</v>
      </c>
      <c r="M254" s="38">
        <v>41213</v>
      </c>
      <c r="N254" s="48" t="s">
        <v>36</v>
      </c>
      <c r="O254" s="41">
        <v>25600</v>
      </c>
      <c r="P254" s="41"/>
      <c r="Q254" s="41"/>
    </row>
    <row r="255" spans="1:17" s="15" customFormat="1" ht="26.25" customHeight="1" x14ac:dyDescent="0.2">
      <c r="A255" s="43" t="s">
        <v>872</v>
      </c>
      <c r="B255" s="46" t="s">
        <v>39</v>
      </c>
      <c r="C255" s="44" t="s">
        <v>100</v>
      </c>
      <c r="D255" s="34">
        <v>4816</v>
      </c>
      <c r="E255" s="46" t="s">
        <v>101</v>
      </c>
      <c r="F255" s="35">
        <v>13000</v>
      </c>
      <c r="G255" s="40">
        <v>25000</v>
      </c>
      <c r="H255" s="35">
        <f>25600+13000</f>
        <v>38600</v>
      </c>
      <c r="I255" s="35">
        <f t="shared" si="6"/>
        <v>63600</v>
      </c>
      <c r="J255" s="36">
        <f t="shared" si="7"/>
        <v>1.544</v>
      </c>
      <c r="K255" s="48" t="s">
        <v>37</v>
      </c>
      <c r="L255" s="48" t="s">
        <v>37</v>
      </c>
      <c r="M255" s="38">
        <v>41455</v>
      </c>
      <c r="N255" s="48" t="s">
        <v>36</v>
      </c>
      <c r="O255" s="35">
        <v>13000</v>
      </c>
      <c r="P255" s="35"/>
      <c r="Q255" s="35"/>
    </row>
    <row r="256" spans="1:17" s="15" customFormat="1" ht="26.25" customHeight="1" x14ac:dyDescent="0.2">
      <c r="A256" s="43" t="s">
        <v>1266</v>
      </c>
      <c r="B256" s="46" t="s">
        <v>45</v>
      </c>
      <c r="C256" s="44" t="s">
        <v>1269</v>
      </c>
      <c r="D256" s="47" t="s">
        <v>1271</v>
      </c>
      <c r="E256" s="46" t="s">
        <v>1274</v>
      </c>
      <c r="F256" s="35">
        <v>36400</v>
      </c>
      <c r="G256" s="40">
        <v>403563</v>
      </c>
      <c r="H256" s="35">
        <f>134521+7000+134521+36400</f>
        <v>312442</v>
      </c>
      <c r="I256" s="35">
        <f t="shared" ref="I256:I319" si="8">G256+H256</f>
        <v>716005</v>
      </c>
      <c r="J256" s="36">
        <f t="shared" ref="J256:J319" si="9">IF(G256=0,100%,(I256-G256)/G256)</f>
        <v>0.77420873568686921</v>
      </c>
      <c r="K256" s="48" t="s">
        <v>37</v>
      </c>
      <c r="L256" s="48" t="s">
        <v>37</v>
      </c>
      <c r="M256" s="38">
        <v>41455</v>
      </c>
      <c r="N256" s="48" t="s">
        <v>36</v>
      </c>
      <c r="O256" s="35">
        <v>36400</v>
      </c>
      <c r="P256" s="35"/>
      <c r="Q256" s="35"/>
    </row>
    <row r="257" spans="1:17" s="15" customFormat="1" ht="26.25" customHeight="1" x14ac:dyDescent="0.2">
      <c r="A257" s="43" t="s">
        <v>1024</v>
      </c>
      <c r="B257" s="46" t="s">
        <v>76</v>
      </c>
      <c r="C257" s="44" t="s">
        <v>1028</v>
      </c>
      <c r="D257" s="34">
        <v>4726</v>
      </c>
      <c r="E257" s="46" t="s">
        <v>1034</v>
      </c>
      <c r="F257" s="35">
        <f>7500*3</f>
        <v>22500</v>
      </c>
      <c r="G257" s="40">
        <f>7500*3</f>
        <v>22500</v>
      </c>
      <c r="H257" s="35">
        <v>0</v>
      </c>
      <c r="I257" s="35">
        <f t="shared" si="8"/>
        <v>22500</v>
      </c>
      <c r="J257" s="36">
        <f t="shared" si="9"/>
        <v>0</v>
      </c>
      <c r="K257" s="48" t="s">
        <v>37</v>
      </c>
      <c r="L257" s="48" t="s">
        <v>37</v>
      </c>
      <c r="M257" s="52">
        <v>41455</v>
      </c>
      <c r="N257" s="48" t="s">
        <v>64</v>
      </c>
      <c r="O257" s="35">
        <v>7500</v>
      </c>
      <c r="P257" s="35">
        <v>7500</v>
      </c>
      <c r="Q257" s="35">
        <v>7500</v>
      </c>
    </row>
    <row r="258" spans="1:17" s="15" customFormat="1" ht="18" customHeight="1" x14ac:dyDescent="0.2">
      <c r="A258" s="43" t="s">
        <v>641</v>
      </c>
      <c r="B258" s="46" t="s">
        <v>39</v>
      </c>
      <c r="C258" s="44" t="s">
        <v>646</v>
      </c>
      <c r="D258" s="34">
        <v>4683</v>
      </c>
      <c r="E258" s="46" t="s">
        <v>652</v>
      </c>
      <c r="F258" s="35">
        <v>32574</v>
      </c>
      <c r="G258" s="40">
        <v>32574</v>
      </c>
      <c r="H258" s="35">
        <v>0</v>
      </c>
      <c r="I258" s="35">
        <f t="shared" si="8"/>
        <v>32574</v>
      </c>
      <c r="J258" s="36">
        <f t="shared" si="9"/>
        <v>0</v>
      </c>
      <c r="K258" s="48" t="s">
        <v>37</v>
      </c>
      <c r="L258" s="48" t="s">
        <v>37</v>
      </c>
      <c r="M258" s="38">
        <v>41524</v>
      </c>
      <c r="N258" s="37"/>
      <c r="O258" s="35">
        <v>32574</v>
      </c>
      <c r="P258" s="35"/>
      <c r="Q258" s="35"/>
    </row>
    <row r="259" spans="1:17" s="15" customFormat="1" ht="26.25" customHeight="1" x14ac:dyDescent="0.2">
      <c r="A259" s="43" t="s">
        <v>923</v>
      </c>
      <c r="B259" s="46" t="s">
        <v>39</v>
      </c>
      <c r="C259" s="44" t="s">
        <v>646</v>
      </c>
      <c r="D259" s="34">
        <v>5131</v>
      </c>
      <c r="E259" s="46" t="s">
        <v>934</v>
      </c>
      <c r="F259" s="35">
        <f>16332*3</f>
        <v>48996</v>
      </c>
      <c r="G259" s="40">
        <f>16332*3</f>
        <v>48996</v>
      </c>
      <c r="H259" s="35">
        <v>0</v>
      </c>
      <c r="I259" s="35">
        <f t="shared" si="8"/>
        <v>48996</v>
      </c>
      <c r="J259" s="36">
        <f t="shared" si="9"/>
        <v>0</v>
      </c>
      <c r="K259" s="48" t="s">
        <v>37</v>
      </c>
      <c r="L259" s="48" t="s">
        <v>37</v>
      </c>
      <c r="M259" s="38">
        <v>41608</v>
      </c>
      <c r="N259" s="48" t="s">
        <v>64</v>
      </c>
      <c r="O259" s="35">
        <v>16332</v>
      </c>
      <c r="P259" s="35">
        <v>16332</v>
      </c>
      <c r="Q259" s="35">
        <v>16332</v>
      </c>
    </row>
    <row r="260" spans="1:17" s="15" customFormat="1" ht="38.25" customHeight="1" x14ac:dyDescent="0.2">
      <c r="A260" s="43" t="s">
        <v>1318</v>
      </c>
      <c r="B260" s="46" t="s">
        <v>39</v>
      </c>
      <c r="C260" s="44" t="s">
        <v>646</v>
      </c>
      <c r="D260" s="47">
        <v>6041</v>
      </c>
      <c r="E260" s="46" t="s">
        <v>1319</v>
      </c>
      <c r="F260" s="35">
        <v>94860</v>
      </c>
      <c r="G260" s="40">
        <v>94860</v>
      </c>
      <c r="H260" s="35">
        <v>0</v>
      </c>
      <c r="I260" s="35">
        <f t="shared" si="8"/>
        <v>94860</v>
      </c>
      <c r="J260" s="36">
        <f t="shared" si="9"/>
        <v>0</v>
      </c>
      <c r="K260" s="48" t="s">
        <v>37</v>
      </c>
      <c r="L260" s="48" t="s">
        <v>37</v>
      </c>
      <c r="M260" s="38">
        <v>41639</v>
      </c>
      <c r="N260" s="48"/>
      <c r="O260" s="35">
        <v>94860</v>
      </c>
      <c r="P260" s="35"/>
      <c r="Q260" s="35"/>
    </row>
    <row r="261" spans="1:17" s="15" customFormat="1" ht="26.25" customHeight="1" x14ac:dyDescent="0.2">
      <c r="A261" s="43" t="s">
        <v>262</v>
      </c>
      <c r="B261" s="46" t="s">
        <v>40</v>
      </c>
      <c r="C261" s="44" t="s">
        <v>61</v>
      </c>
      <c r="D261" s="34">
        <v>4138</v>
      </c>
      <c r="E261" s="46" t="s">
        <v>63</v>
      </c>
      <c r="F261" s="35">
        <f>95000*3</f>
        <v>285000</v>
      </c>
      <c r="G261" s="40">
        <f>95000*3</f>
        <v>285000</v>
      </c>
      <c r="H261" s="35">
        <v>0</v>
      </c>
      <c r="I261" s="35">
        <f t="shared" si="8"/>
        <v>285000</v>
      </c>
      <c r="J261" s="36">
        <f t="shared" si="9"/>
        <v>0</v>
      </c>
      <c r="K261" s="48" t="s">
        <v>37</v>
      </c>
      <c r="L261" s="48" t="s">
        <v>37</v>
      </c>
      <c r="M261" s="38">
        <v>41455</v>
      </c>
      <c r="N261" s="48" t="s">
        <v>64</v>
      </c>
      <c r="O261" s="41">
        <v>95000</v>
      </c>
      <c r="P261" s="41">
        <v>95000</v>
      </c>
      <c r="Q261" s="41">
        <v>95000</v>
      </c>
    </row>
    <row r="262" spans="1:17" s="15" customFormat="1" ht="26.25" customHeight="1" x14ac:dyDescent="0.2">
      <c r="A262" s="43" t="s">
        <v>774</v>
      </c>
      <c r="B262" s="46" t="s">
        <v>17</v>
      </c>
      <c r="C262" s="44" t="s">
        <v>799</v>
      </c>
      <c r="D262" s="34">
        <v>4166</v>
      </c>
      <c r="E262" s="46" t="s">
        <v>786</v>
      </c>
      <c r="F262" s="35">
        <f>55000*3</f>
        <v>165000</v>
      </c>
      <c r="G262" s="40">
        <f>50000*3</f>
        <v>150000</v>
      </c>
      <c r="H262" s="35">
        <v>0</v>
      </c>
      <c r="I262" s="35">
        <f t="shared" si="8"/>
        <v>150000</v>
      </c>
      <c r="J262" s="36">
        <f t="shared" si="9"/>
        <v>0</v>
      </c>
      <c r="K262" s="48" t="s">
        <v>37</v>
      </c>
      <c r="L262" s="48" t="s">
        <v>37</v>
      </c>
      <c r="M262" s="38">
        <v>41455</v>
      </c>
      <c r="N262" s="48" t="s">
        <v>64</v>
      </c>
      <c r="O262" s="35">
        <v>55000</v>
      </c>
      <c r="P262" s="35">
        <v>55000</v>
      </c>
      <c r="Q262" s="35">
        <v>55000</v>
      </c>
    </row>
    <row r="263" spans="1:17" s="15" customFormat="1" ht="26.25" customHeight="1" x14ac:dyDescent="0.2">
      <c r="A263" s="43" t="s">
        <v>654</v>
      </c>
      <c r="B263" s="46" t="s">
        <v>17</v>
      </c>
      <c r="C263" s="44" t="s">
        <v>667</v>
      </c>
      <c r="D263" s="34">
        <v>4412</v>
      </c>
      <c r="E263" s="46" t="s">
        <v>672</v>
      </c>
      <c r="F263" s="35">
        <f>60000*3</f>
        <v>180000</v>
      </c>
      <c r="G263" s="40">
        <f>60000*3</f>
        <v>180000</v>
      </c>
      <c r="H263" s="35">
        <v>0</v>
      </c>
      <c r="I263" s="35">
        <f t="shared" si="8"/>
        <v>180000</v>
      </c>
      <c r="J263" s="36">
        <f t="shared" si="9"/>
        <v>0</v>
      </c>
      <c r="K263" s="48" t="s">
        <v>37</v>
      </c>
      <c r="L263" s="48" t="s">
        <v>37</v>
      </c>
      <c r="M263" s="38">
        <v>41455</v>
      </c>
      <c r="N263" s="48" t="s">
        <v>64</v>
      </c>
      <c r="O263" s="35">
        <v>60000</v>
      </c>
      <c r="P263" s="35">
        <v>60000</v>
      </c>
      <c r="Q263" s="35">
        <v>60000</v>
      </c>
    </row>
    <row r="264" spans="1:17" s="15" customFormat="1" ht="26.25" customHeight="1" x14ac:dyDescent="0.2">
      <c r="A264" s="43" t="s">
        <v>550</v>
      </c>
      <c r="B264" s="46" t="s">
        <v>39</v>
      </c>
      <c r="C264" s="44" t="s">
        <v>562</v>
      </c>
      <c r="D264" s="34">
        <v>4477</v>
      </c>
      <c r="E264" s="46" t="s">
        <v>580</v>
      </c>
      <c r="F264" s="35">
        <f>15000*3</f>
        <v>45000</v>
      </c>
      <c r="G264" s="40">
        <f>15000*3</f>
        <v>45000</v>
      </c>
      <c r="H264" s="35">
        <v>0</v>
      </c>
      <c r="I264" s="35">
        <f t="shared" si="8"/>
        <v>45000</v>
      </c>
      <c r="J264" s="36">
        <f t="shared" si="9"/>
        <v>0</v>
      </c>
      <c r="K264" s="48" t="s">
        <v>37</v>
      </c>
      <c r="L264" s="48" t="s">
        <v>37</v>
      </c>
      <c r="M264" s="38">
        <v>41455</v>
      </c>
      <c r="N264" s="48" t="s">
        <v>64</v>
      </c>
      <c r="O264" s="35">
        <v>15000</v>
      </c>
      <c r="P264" s="35">
        <v>15000</v>
      </c>
      <c r="Q264" s="35">
        <v>15000</v>
      </c>
    </row>
    <row r="265" spans="1:17" s="15" customFormat="1" ht="26.25" customHeight="1" x14ac:dyDescent="0.2">
      <c r="A265" s="43" t="s">
        <v>1325</v>
      </c>
      <c r="B265" s="46" t="s">
        <v>17</v>
      </c>
      <c r="C265" s="44" t="s">
        <v>1330</v>
      </c>
      <c r="D265" s="47">
        <v>5892</v>
      </c>
      <c r="E265" s="46" t="s">
        <v>1337</v>
      </c>
      <c r="F265" s="35">
        <v>48000</v>
      </c>
      <c r="G265" s="40">
        <v>48000</v>
      </c>
      <c r="H265" s="35">
        <v>0</v>
      </c>
      <c r="I265" s="35">
        <f t="shared" si="8"/>
        <v>48000</v>
      </c>
      <c r="J265" s="36">
        <f t="shared" si="9"/>
        <v>0</v>
      </c>
      <c r="K265" s="48" t="s">
        <v>37</v>
      </c>
      <c r="L265" s="48" t="s">
        <v>37</v>
      </c>
      <c r="M265" s="38">
        <v>41455</v>
      </c>
      <c r="N265" s="48"/>
      <c r="O265" s="35">
        <v>48000</v>
      </c>
      <c r="P265" s="35"/>
      <c r="Q265" s="35"/>
    </row>
    <row r="266" spans="1:17" s="15" customFormat="1" ht="26.25" customHeight="1" x14ac:dyDescent="0.2">
      <c r="A266" s="43" t="s">
        <v>658</v>
      </c>
      <c r="B266" s="46" t="s">
        <v>18</v>
      </c>
      <c r="C266" s="44" t="s">
        <v>680</v>
      </c>
      <c r="D266" s="34">
        <v>4640</v>
      </c>
      <c r="E266" s="46" t="s">
        <v>677</v>
      </c>
      <c r="F266" s="35">
        <v>10000</v>
      </c>
      <c r="G266" s="40">
        <v>5000</v>
      </c>
      <c r="H266" s="35">
        <v>10000</v>
      </c>
      <c r="I266" s="35">
        <f t="shared" si="8"/>
        <v>15000</v>
      </c>
      <c r="J266" s="36">
        <f t="shared" si="9"/>
        <v>2</v>
      </c>
      <c r="K266" s="48" t="s">
        <v>37</v>
      </c>
      <c r="L266" s="48" t="s">
        <v>37</v>
      </c>
      <c r="M266" s="52" t="s">
        <v>69</v>
      </c>
      <c r="N266" s="48" t="s">
        <v>36</v>
      </c>
      <c r="O266" s="35">
        <v>10000</v>
      </c>
      <c r="P266" s="35"/>
      <c r="Q266" s="35"/>
    </row>
    <row r="267" spans="1:17" s="15" customFormat="1" ht="26.25" customHeight="1" x14ac:dyDescent="0.2">
      <c r="A267" s="43" t="s">
        <v>955</v>
      </c>
      <c r="B267" s="46" t="s">
        <v>18</v>
      </c>
      <c r="C267" s="44" t="s">
        <v>680</v>
      </c>
      <c r="D267" s="34">
        <v>5023</v>
      </c>
      <c r="E267" s="46" t="s">
        <v>961</v>
      </c>
      <c r="F267" s="35">
        <v>10000</v>
      </c>
      <c r="G267" s="40">
        <v>5000</v>
      </c>
      <c r="H267" s="35">
        <f>10000+10000</f>
        <v>20000</v>
      </c>
      <c r="I267" s="35">
        <f t="shared" si="8"/>
        <v>25000</v>
      </c>
      <c r="J267" s="36">
        <f t="shared" si="9"/>
        <v>4</v>
      </c>
      <c r="K267" s="48" t="s">
        <v>37</v>
      </c>
      <c r="L267" s="48" t="s">
        <v>37</v>
      </c>
      <c r="M267" s="52" t="s">
        <v>69</v>
      </c>
      <c r="N267" s="48" t="s">
        <v>36</v>
      </c>
      <c r="O267" s="35">
        <v>10000</v>
      </c>
      <c r="P267" s="35"/>
      <c r="Q267" s="35"/>
    </row>
    <row r="268" spans="1:17" s="15" customFormat="1" ht="26.25" customHeight="1" x14ac:dyDescent="0.2">
      <c r="A268" s="43" t="s">
        <v>887</v>
      </c>
      <c r="B268" s="46" t="s">
        <v>17</v>
      </c>
      <c r="C268" s="44" t="s">
        <v>891</v>
      </c>
      <c r="D268" s="34">
        <v>4680</v>
      </c>
      <c r="E268" s="46" t="s">
        <v>882</v>
      </c>
      <c r="F268" s="35">
        <v>12885</v>
      </c>
      <c r="G268" s="40">
        <v>12885</v>
      </c>
      <c r="H268" s="35">
        <v>0</v>
      </c>
      <c r="I268" s="35">
        <f t="shared" si="8"/>
        <v>12885</v>
      </c>
      <c r="J268" s="36">
        <f t="shared" si="9"/>
        <v>0</v>
      </c>
      <c r="K268" s="48" t="s">
        <v>37</v>
      </c>
      <c r="L268" s="48" t="s">
        <v>37</v>
      </c>
      <c r="M268" s="38">
        <v>41243</v>
      </c>
      <c r="N268" s="37"/>
      <c r="O268" s="35">
        <v>12885</v>
      </c>
      <c r="P268" s="35"/>
      <c r="Q268" s="35"/>
    </row>
    <row r="269" spans="1:17" s="15" customFormat="1" ht="26.25" customHeight="1" x14ac:dyDescent="0.2">
      <c r="A269" s="43" t="s">
        <v>693</v>
      </c>
      <c r="B269" s="46" t="s">
        <v>76</v>
      </c>
      <c r="C269" s="44" t="s">
        <v>710</v>
      </c>
      <c r="D269" s="34">
        <v>4717</v>
      </c>
      <c r="E269" s="46" t="s">
        <v>702</v>
      </c>
      <c r="F269" s="35">
        <f>25000*3</f>
        <v>75000</v>
      </c>
      <c r="G269" s="40">
        <f>25000*3</f>
        <v>75000</v>
      </c>
      <c r="H269" s="35">
        <v>0</v>
      </c>
      <c r="I269" s="35">
        <f t="shared" si="8"/>
        <v>75000</v>
      </c>
      <c r="J269" s="36">
        <f t="shared" si="9"/>
        <v>0</v>
      </c>
      <c r="K269" s="48" t="s">
        <v>37</v>
      </c>
      <c r="L269" s="48" t="s">
        <v>37</v>
      </c>
      <c r="M269" s="38">
        <v>41455</v>
      </c>
      <c r="N269" s="48" t="s">
        <v>64</v>
      </c>
      <c r="O269" s="35">
        <v>25000</v>
      </c>
      <c r="P269" s="35">
        <v>25000</v>
      </c>
      <c r="Q269" s="35">
        <v>25000</v>
      </c>
    </row>
    <row r="270" spans="1:17" s="15" customFormat="1" ht="26.25" customHeight="1" x14ac:dyDescent="0.2">
      <c r="A270" s="43" t="s">
        <v>403</v>
      </c>
      <c r="B270" s="46" t="s">
        <v>49</v>
      </c>
      <c r="C270" s="44" t="s">
        <v>416</v>
      </c>
      <c r="D270" s="34">
        <v>4253</v>
      </c>
      <c r="E270" s="46" t="s">
        <v>434</v>
      </c>
      <c r="F270" s="35">
        <f>13500*3</f>
        <v>40500</v>
      </c>
      <c r="G270" s="40">
        <f>13500*3</f>
        <v>40500</v>
      </c>
      <c r="H270" s="35">
        <v>0</v>
      </c>
      <c r="I270" s="35">
        <f t="shared" si="8"/>
        <v>40500</v>
      </c>
      <c r="J270" s="36">
        <f t="shared" si="9"/>
        <v>0</v>
      </c>
      <c r="K270" s="48" t="s">
        <v>37</v>
      </c>
      <c r="L270" s="48" t="s">
        <v>37</v>
      </c>
      <c r="M270" s="38">
        <v>41455</v>
      </c>
      <c r="N270" s="48" t="s">
        <v>64</v>
      </c>
      <c r="O270" s="41">
        <v>13500</v>
      </c>
      <c r="P270" s="41">
        <v>13500</v>
      </c>
      <c r="Q270" s="41">
        <v>13500</v>
      </c>
    </row>
    <row r="271" spans="1:17" s="15" customFormat="1" ht="38.25" customHeight="1" x14ac:dyDescent="0.2">
      <c r="A271" s="43" t="s">
        <v>1367</v>
      </c>
      <c r="B271" s="46" t="s">
        <v>39</v>
      </c>
      <c r="C271" s="44" t="s">
        <v>1369</v>
      </c>
      <c r="D271" s="34">
        <v>6223</v>
      </c>
      <c r="E271" s="46" t="s">
        <v>1372</v>
      </c>
      <c r="F271" s="35">
        <v>99500</v>
      </c>
      <c r="G271" s="40">
        <v>99500</v>
      </c>
      <c r="H271" s="35">
        <v>0</v>
      </c>
      <c r="I271" s="35">
        <f t="shared" si="8"/>
        <v>99500</v>
      </c>
      <c r="J271" s="36">
        <f t="shared" si="9"/>
        <v>0</v>
      </c>
      <c r="K271" s="48" t="s">
        <v>37</v>
      </c>
      <c r="L271" s="48" t="s">
        <v>42</v>
      </c>
      <c r="M271" s="38">
        <v>41790</v>
      </c>
      <c r="N271" s="48"/>
      <c r="O271" s="49">
        <v>99500</v>
      </c>
      <c r="P271" s="35"/>
      <c r="Q271" s="35"/>
    </row>
    <row r="272" spans="1:17" s="15" customFormat="1" ht="38.25" customHeight="1" x14ac:dyDescent="0.2">
      <c r="A272" s="43" t="s">
        <v>225</v>
      </c>
      <c r="B272" s="46" t="s">
        <v>20</v>
      </c>
      <c r="C272" s="44" t="s">
        <v>681</v>
      </c>
      <c r="D272" s="34">
        <v>4232</v>
      </c>
      <c r="E272" s="46" t="s">
        <v>243</v>
      </c>
      <c r="F272" s="35">
        <f>37400*2</f>
        <v>74800</v>
      </c>
      <c r="G272" s="40">
        <f>37400*2</f>
        <v>74800</v>
      </c>
      <c r="H272" s="35">
        <v>0</v>
      </c>
      <c r="I272" s="35">
        <f t="shared" si="8"/>
        <v>74800</v>
      </c>
      <c r="J272" s="36">
        <f t="shared" si="9"/>
        <v>0</v>
      </c>
      <c r="K272" s="48" t="s">
        <v>37</v>
      </c>
      <c r="L272" s="48" t="s">
        <v>37</v>
      </c>
      <c r="M272" s="38">
        <v>41418</v>
      </c>
      <c r="N272" s="48"/>
      <c r="O272" s="41">
        <f>37400*2</f>
        <v>74800</v>
      </c>
      <c r="P272" s="41"/>
      <c r="Q272" s="41"/>
    </row>
    <row r="273" spans="1:17" s="15" customFormat="1" ht="26.25" customHeight="1" x14ac:dyDescent="0.2">
      <c r="A273" s="43" t="s">
        <v>298</v>
      </c>
      <c r="B273" s="46" t="s">
        <v>75</v>
      </c>
      <c r="C273" s="44" t="s">
        <v>77</v>
      </c>
      <c r="D273" s="34">
        <v>4168</v>
      </c>
      <c r="E273" s="46" t="s">
        <v>79</v>
      </c>
      <c r="F273" s="35">
        <v>45000</v>
      </c>
      <c r="G273" s="40">
        <v>45000</v>
      </c>
      <c r="H273" s="35">
        <v>0</v>
      </c>
      <c r="I273" s="35">
        <f t="shared" si="8"/>
        <v>45000</v>
      </c>
      <c r="J273" s="36">
        <f t="shared" si="9"/>
        <v>0</v>
      </c>
      <c r="K273" s="48" t="s">
        <v>37</v>
      </c>
      <c r="L273" s="48" t="s">
        <v>37</v>
      </c>
      <c r="M273" s="38">
        <v>41455</v>
      </c>
      <c r="N273" s="37"/>
      <c r="O273" s="41">
        <v>45000</v>
      </c>
      <c r="P273" s="41"/>
      <c r="Q273" s="41"/>
    </row>
    <row r="274" spans="1:17" s="15" customFormat="1" ht="38.25" customHeight="1" x14ac:dyDescent="0.2">
      <c r="A274" s="43" t="s">
        <v>766</v>
      </c>
      <c r="B274" s="46" t="s">
        <v>26</v>
      </c>
      <c r="C274" s="44" t="s">
        <v>792</v>
      </c>
      <c r="D274" s="47" t="s">
        <v>41</v>
      </c>
      <c r="E274" s="46" t="s">
        <v>780</v>
      </c>
      <c r="F274" s="35">
        <v>99000</v>
      </c>
      <c r="G274" s="40">
        <v>99000</v>
      </c>
      <c r="H274" s="35">
        <v>0</v>
      </c>
      <c r="I274" s="35">
        <f t="shared" si="8"/>
        <v>99000</v>
      </c>
      <c r="J274" s="36">
        <f t="shared" si="9"/>
        <v>0</v>
      </c>
      <c r="K274" s="48" t="s">
        <v>37</v>
      </c>
      <c r="L274" s="48" t="s">
        <v>37</v>
      </c>
      <c r="M274" s="38">
        <v>41455</v>
      </c>
      <c r="N274" s="37"/>
      <c r="O274" s="35">
        <v>99000</v>
      </c>
      <c r="P274" s="35"/>
      <c r="Q274" s="35"/>
    </row>
    <row r="275" spans="1:17" s="15" customFormat="1" ht="38.25" customHeight="1" x14ac:dyDescent="0.2">
      <c r="A275" s="43" t="s">
        <v>266</v>
      </c>
      <c r="B275" s="46" t="s">
        <v>18</v>
      </c>
      <c r="C275" s="44" t="s">
        <v>293</v>
      </c>
      <c r="D275" s="34">
        <v>4093</v>
      </c>
      <c r="E275" s="46" t="s">
        <v>280</v>
      </c>
      <c r="F275" s="35">
        <v>99000</v>
      </c>
      <c r="G275" s="40">
        <v>99000</v>
      </c>
      <c r="H275" s="35">
        <v>0</v>
      </c>
      <c r="I275" s="35">
        <f t="shared" si="8"/>
        <v>99000</v>
      </c>
      <c r="J275" s="36">
        <f t="shared" si="9"/>
        <v>0</v>
      </c>
      <c r="K275" s="48" t="s">
        <v>37</v>
      </c>
      <c r="L275" s="48" t="s">
        <v>37</v>
      </c>
      <c r="M275" s="52" t="s">
        <v>69</v>
      </c>
      <c r="N275" s="37"/>
      <c r="O275" s="41">
        <v>99000</v>
      </c>
      <c r="P275" s="41"/>
      <c r="Q275" s="41"/>
    </row>
    <row r="276" spans="1:17" s="15" customFormat="1" ht="26.25" customHeight="1" x14ac:dyDescent="0.2">
      <c r="A276" s="43" t="s">
        <v>1051</v>
      </c>
      <c r="B276" s="46" t="s">
        <v>48</v>
      </c>
      <c r="C276" s="44" t="s">
        <v>1055</v>
      </c>
      <c r="D276" s="34">
        <v>5325</v>
      </c>
      <c r="E276" s="46" t="s">
        <v>1059</v>
      </c>
      <c r="F276" s="35">
        <v>15000</v>
      </c>
      <c r="G276" s="40">
        <v>15000</v>
      </c>
      <c r="H276" s="35">
        <v>0</v>
      </c>
      <c r="I276" s="35">
        <f t="shared" si="8"/>
        <v>15000</v>
      </c>
      <c r="J276" s="36">
        <f t="shared" si="9"/>
        <v>0</v>
      </c>
      <c r="K276" s="48" t="s">
        <v>37</v>
      </c>
      <c r="L276" s="48" t="s">
        <v>37</v>
      </c>
      <c r="M276" s="38">
        <v>41329</v>
      </c>
      <c r="N276" s="48"/>
      <c r="O276" s="35">
        <v>15000</v>
      </c>
      <c r="P276" s="35"/>
      <c r="Q276" s="35"/>
    </row>
    <row r="277" spans="1:17" s="15" customFormat="1" ht="26.25" customHeight="1" x14ac:dyDescent="0.2">
      <c r="A277" s="43" t="s">
        <v>483</v>
      </c>
      <c r="B277" s="46" t="s">
        <v>46</v>
      </c>
      <c r="C277" s="44" t="s">
        <v>74</v>
      </c>
      <c r="D277" s="47">
        <v>4404</v>
      </c>
      <c r="E277" s="46" t="s">
        <v>509</v>
      </c>
      <c r="F277" s="35">
        <f>30000*3</f>
        <v>90000</v>
      </c>
      <c r="G277" s="40">
        <f>30000*3</f>
        <v>90000</v>
      </c>
      <c r="H277" s="35">
        <v>0</v>
      </c>
      <c r="I277" s="35">
        <f t="shared" si="8"/>
        <v>90000</v>
      </c>
      <c r="J277" s="36">
        <f t="shared" si="9"/>
        <v>0</v>
      </c>
      <c r="K277" s="48" t="s">
        <v>37</v>
      </c>
      <c r="L277" s="48" t="s">
        <v>37</v>
      </c>
      <c r="M277" s="38">
        <v>41455</v>
      </c>
      <c r="N277" s="48" t="s">
        <v>64</v>
      </c>
      <c r="O277" s="41">
        <v>30000</v>
      </c>
      <c r="P277" s="41">
        <v>30000</v>
      </c>
      <c r="Q277" s="41">
        <v>30000</v>
      </c>
    </row>
    <row r="278" spans="1:17" s="15" customFormat="1" ht="26.25" customHeight="1" x14ac:dyDescent="0.2">
      <c r="A278" s="43" t="s">
        <v>162</v>
      </c>
      <c r="B278" s="46" t="s">
        <v>65</v>
      </c>
      <c r="C278" s="44" t="s">
        <v>213</v>
      </c>
      <c r="D278" s="47">
        <v>4032</v>
      </c>
      <c r="E278" s="46" t="s">
        <v>190</v>
      </c>
      <c r="F278" s="49">
        <f>15250*3</f>
        <v>45750</v>
      </c>
      <c r="G278" s="50">
        <f>15250*3</f>
        <v>45750</v>
      </c>
      <c r="H278" s="49">
        <v>0</v>
      </c>
      <c r="I278" s="49">
        <f t="shared" si="8"/>
        <v>45750</v>
      </c>
      <c r="J278" s="51">
        <f t="shared" si="9"/>
        <v>0</v>
      </c>
      <c r="K278" s="48" t="s">
        <v>37</v>
      </c>
      <c r="L278" s="48" t="s">
        <v>37</v>
      </c>
      <c r="M278" s="52">
        <v>41455</v>
      </c>
      <c r="N278" s="48" t="s">
        <v>64</v>
      </c>
      <c r="O278" s="41">
        <v>15250</v>
      </c>
      <c r="P278" s="41">
        <v>15250</v>
      </c>
      <c r="Q278" s="41">
        <v>15250</v>
      </c>
    </row>
    <row r="279" spans="1:17" s="15" customFormat="1" ht="38.25" customHeight="1" x14ac:dyDescent="0.2">
      <c r="A279" s="43" t="s">
        <v>326</v>
      </c>
      <c r="B279" s="46" t="s">
        <v>26</v>
      </c>
      <c r="C279" s="44" t="s">
        <v>23</v>
      </c>
      <c r="D279" s="47" t="s">
        <v>367</v>
      </c>
      <c r="E279" s="46" t="s">
        <v>383</v>
      </c>
      <c r="F279" s="35">
        <v>20000</v>
      </c>
      <c r="G279" s="40">
        <v>20000</v>
      </c>
      <c r="H279" s="35">
        <v>0</v>
      </c>
      <c r="I279" s="35">
        <f t="shared" si="8"/>
        <v>20000</v>
      </c>
      <c r="J279" s="36">
        <f t="shared" si="9"/>
        <v>0</v>
      </c>
      <c r="K279" s="48" t="s">
        <v>37</v>
      </c>
      <c r="L279" s="48" t="s">
        <v>37</v>
      </c>
      <c r="M279" s="38">
        <v>41455</v>
      </c>
      <c r="N279" s="37"/>
      <c r="O279" s="41">
        <v>20000</v>
      </c>
      <c r="P279" s="41"/>
      <c r="Q279" s="41"/>
    </row>
    <row r="280" spans="1:17" s="15" customFormat="1" ht="38.25" customHeight="1" x14ac:dyDescent="0.2">
      <c r="A280" s="43" t="s">
        <v>327</v>
      </c>
      <c r="B280" s="46" t="s">
        <v>26</v>
      </c>
      <c r="C280" s="44" t="s">
        <v>23</v>
      </c>
      <c r="D280" s="47" t="s">
        <v>368</v>
      </c>
      <c r="E280" s="46" t="s">
        <v>384</v>
      </c>
      <c r="F280" s="35">
        <v>15000</v>
      </c>
      <c r="G280" s="40">
        <v>15000</v>
      </c>
      <c r="H280" s="35">
        <v>0</v>
      </c>
      <c r="I280" s="35">
        <f t="shared" si="8"/>
        <v>15000</v>
      </c>
      <c r="J280" s="36">
        <f t="shared" si="9"/>
        <v>0</v>
      </c>
      <c r="K280" s="48" t="s">
        <v>37</v>
      </c>
      <c r="L280" s="48" t="s">
        <v>37</v>
      </c>
      <c r="M280" s="38">
        <v>41455</v>
      </c>
      <c r="N280" s="37"/>
      <c r="O280" s="41">
        <v>15000</v>
      </c>
      <c r="P280" s="41"/>
      <c r="Q280" s="41"/>
    </row>
    <row r="281" spans="1:17" s="15" customFormat="1" ht="26.25" customHeight="1" x14ac:dyDescent="0.2">
      <c r="A281" s="43" t="s">
        <v>328</v>
      </c>
      <c r="B281" s="46" t="s">
        <v>26</v>
      </c>
      <c r="C281" s="44" t="s">
        <v>23</v>
      </c>
      <c r="D281" s="47" t="s">
        <v>374</v>
      </c>
      <c r="E281" s="46" t="s">
        <v>33</v>
      </c>
      <c r="F281" s="35">
        <v>20000</v>
      </c>
      <c r="G281" s="40">
        <v>20000</v>
      </c>
      <c r="H281" s="35">
        <v>0</v>
      </c>
      <c r="I281" s="35">
        <f t="shared" si="8"/>
        <v>20000</v>
      </c>
      <c r="J281" s="36">
        <f t="shared" si="9"/>
        <v>0</v>
      </c>
      <c r="K281" s="48" t="s">
        <v>37</v>
      </c>
      <c r="L281" s="48" t="s">
        <v>37</v>
      </c>
      <c r="M281" s="38">
        <v>41455</v>
      </c>
      <c r="N281" s="37"/>
      <c r="O281" s="41">
        <v>20000</v>
      </c>
      <c r="P281" s="41"/>
      <c r="Q281" s="41"/>
    </row>
    <row r="282" spans="1:17" s="15" customFormat="1" ht="38.25" customHeight="1" x14ac:dyDescent="0.2">
      <c r="A282" s="43" t="s">
        <v>816</v>
      </c>
      <c r="B282" s="46" t="s">
        <v>825</v>
      </c>
      <c r="C282" s="44" t="s">
        <v>840</v>
      </c>
      <c r="D282" s="34">
        <v>4463</v>
      </c>
      <c r="E282" s="46" t="s">
        <v>867</v>
      </c>
      <c r="F282" s="35">
        <f>20000*3</f>
        <v>60000</v>
      </c>
      <c r="G282" s="40">
        <f>20000*3</f>
        <v>60000</v>
      </c>
      <c r="H282" s="35">
        <v>0</v>
      </c>
      <c r="I282" s="35">
        <f t="shared" si="8"/>
        <v>60000</v>
      </c>
      <c r="J282" s="36">
        <f t="shared" si="9"/>
        <v>0</v>
      </c>
      <c r="K282" s="48" t="s">
        <v>37</v>
      </c>
      <c r="L282" s="48" t="s">
        <v>37</v>
      </c>
      <c r="M282" s="38">
        <v>41455</v>
      </c>
      <c r="N282" s="48" t="s">
        <v>64</v>
      </c>
      <c r="O282" s="35">
        <v>20000</v>
      </c>
      <c r="P282" s="35">
        <v>20000</v>
      </c>
      <c r="Q282" s="35">
        <v>20000</v>
      </c>
    </row>
    <row r="283" spans="1:17" s="15" customFormat="1" ht="26.25" customHeight="1" x14ac:dyDescent="0.2">
      <c r="A283" s="43" t="s">
        <v>1088</v>
      </c>
      <c r="B283" s="46" t="s">
        <v>1091</v>
      </c>
      <c r="C283" s="44" t="s">
        <v>1095</v>
      </c>
      <c r="D283" s="34">
        <v>5411</v>
      </c>
      <c r="E283" s="46" t="s">
        <v>1098</v>
      </c>
      <c r="F283" s="35">
        <f>21745*3</f>
        <v>65235</v>
      </c>
      <c r="G283" s="40">
        <f>21745*3</f>
        <v>65235</v>
      </c>
      <c r="H283" s="35">
        <v>0</v>
      </c>
      <c r="I283" s="35">
        <f t="shared" si="8"/>
        <v>65235</v>
      </c>
      <c r="J283" s="36">
        <f t="shared" si="9"/>
        <v>0</v>
      </c>
      <c r="K283" s="48" t="s">
        <v>37</v>
      </c>
      <c r="L283" s="48" t="s">
        <v>37</v>
      </c>
      <c r="M283" s="38">
        <v>41670</v>
      </c>
      <c r="N283" s="48" t="s">
        <v>64</v>
      </c>
      <c r="O283" s="35">
        <v>21745</v>
      </c>
      <c r="P283" s="35">
        <v>21745</v>
      </c>
      <c r="Q283" s="35">
        <v>21745</v>
      </c>
    </row>
    <row r="284" spans="1:17" s="15" customFormat="1" ht="26.25" customHeight="1" x14ac:dyDescent="0.2">
      <c r="A284" s="43" t="s">
        <v>325</v>
      </c>
      <c r="B284" s="46" t="s">
        <v>26</v>
      </c>
      <c r="C284" s="44" t="s">
        <v>348</v>
      </c>
      <c r="D284" s="47" t="s">
        <v>366</v>
      </c>
      <c r="E284" s="46" t="s">
        <v>35</v>
      </c>
      <c r="F284" s="35">
        <v>45000</v>
      </c>
      <c r="G284" s="40">
        <v>45000</v>
      </c>
      <c r="H284" s="35">
        <v>0</v>
      </c>
      <c r="I284" s="35">
        <f t="shared" si="8"/>
        <v>45000</v>
      </c>
      <c r="J284" s="36">
        <f t="shared" si="9"/>
        <v>0</v>
      </c>
      <c r="K284" s="48" t="s">
        <v>37</v>
      </c>
      <c r="L284" s="48" t="s">
        <v>37</v>
      </c>
      <c r="M284" s="38">
        <v>41455</v>
      </c>
      <c r="N284" s="37"/>
      <c r="O284" s="41">
        <v>45000</v>
      </c>
      <c r="P284" s="41"/>
      <c r="Q284" s="41"/>
    </row>
    <row r="285" spans="1:17" s="15" customFormat="1" ht="26.25" customHeight="1" x14ac:dyDescent="0.2">
      <c r="A285" s="43" t="s">
        <v>589</v>
      </c>
      <c r="B285" s="46" t="s">
        <v>46</v>
      </c>
      <c r="C285" s="44" t="s">
        <v>70</v>
      </c>
      <c r="D285" s="34">
        <v>4498</v>
      </c>
      <c r="E285" s="46" t="s">
        <v>593</v>
      </c>
      <c r="F285" s="35">
        <f>25000*3</f>
        <v>75000</v>
      </c>
      <c r="G285" s="40">
        <f>25000*3</f>
        <v>75000</v>
      </c>
      <c r="H285" s="35">
        <v>0</v>
      </c>
      <c r="I285" s="35">
        <f t="shared" si="8"/>
        <v>75000</v>
      </c>
      <c r="J285" s="36">
        <f t="shared" si="9"/>
        <v>0</v>
      </c>
      <c r="K285" s="48" t="s">
        <v>37</v>
      </c>
      <c r="L285" s="48" t="s">
        <v>37</v>
      </c>
      <c r="M285" s="38">
        <v>41455</v>
      </c>
      <c r="N285" s="48" t="s">
        <v>64</v>
      </c>
      <c r="O285" s="35">
        <v>25000</v>
      </c>
      <c r="P285" s="35">
        <v>25000</v>
      </c>
      <c r="Q285" s="35">
        <v>25000</v>
      </c>
    </row>
    <row r="286" spans="1:17" s="15" customFormat="1" ht="26.25" customHeight="1" x14ac:dyDescent="0.2">
      <c r="A286" s="43" t="s">
        <v>901</v>
      </c>
      <c r="B286" s="46" t="s">
        <v>39</v>
      </c>
      <c r="C286" s="44" t="s">
        <v>908</v>
      </c>
      <c r="D286" s="34">
        <v>5110</v>
      </c>
      <c r="E286" s="46" t="s">
        <v>918</v>
      </c>
      <c r="F286" s="35">
        <f>47819*3</f>
        <v>143457</v>
      </c>
      <c r="G286" s="40">
        <f>47819*3</f>
        <v>143457</v>
      </c>
      <c r="H286" s="35">
        <v>0</v>
      </c>
      <c r="I286" s="35">
        <f t="shared" si="8"/>
        <v>143457</v>
      </c>
      <c r="J286" s="36">
        <f t="shared" si="9"/>
        <v>0</v>
      </c>
      <c r="K286" s="48" t="s">
        <v>37</v>
      </c>
      <c r="L286" s="48" t="s">
        <v>37</v>
      </c>
      <c r="M286" s="38">
        <v>41455</v>
      </c>
      <c r="N286" s="48" t="s">
        <v>64</v>
      </c>
      <c r="O286" s="35">
        <v>47819</v>
      </c>
      <c r="P286" s="35">
        <v>47819</v>
      </c>
      <c r="Q286" s="35">
        <v>47819</v>
      </c>
    </row>
    <row r="287" spans="1:17" s="15" customFormat="1" ht="26.25" customHeight="1" x14ac:dyDescent="0.2">
      <c r="A287" s="43" t="s">
        <v>256</v>
      </c>
      <c r="B287" s="46" t="s">
        <v>40</v>
      </c>
      <c r="C287" s="44" t="s">
        <v>287</v>
      </c>
      <c r="D287" s="34">
        <v>4192</v>
      </c>
      <c r="E287" s="46" t="s">
        <v>272</v>
      </c>
      <c r="F287" s="35">
        <f>92017*3</f>
        <v>276051</v>
      </c>
      <c r="G287" s="40">
        <f>92017*3</f>
        <v>276051</v>
      </c>
      <c r="H287" s="35">
        <v>0</v>
      </c>
      <c r="I287" s="35">
        <f t="shared" si="8"/>
        <v>276051</v>
      </c>
      <c r="J287" s="36">
        <f t="shared" si="9"/>
        <v>0</v>
      </c>
      <c r="K287" s="48" t="s">
        <v>37</v>
      </c>
      <c r="L287" s="48" t="s">
        <v>37</v>
      </c>
      <c r="M287" s="38">
        <v>41455</v>
      </c>
      <c r="N287" s="48" t="s">
        <v>64</v>
      </c>
      <c r="O287" s="41">
        <v>92017</v>
      </c>
      <c r="P287" s="41">
        <v>92017</v>
      </c>
      <c r="Q287" s="41">
        <v>92017</v>
      </c>
    </row>
    <row r="288" spans="1:17" s="15" customFormat="1" ht="26.25" customHeight="1" x14ac:dyDescent="0.2">
      <c r="A288" s="43" t="s">
        <v>393</v>
      </c>
      <c r="B288" s="46" t="s">
        <v>92</v>
      </c>
      <c r="C288" s="44" t="s">
        <v>408</v>
      </c>
      <c r="D288" s="34">
        <v>3950</v>
      </c>
      <c r="E288" s="46" t="s">
        <v>424</v>
      </c>
      <c r="F288" s="35">
        <f>20000*3</f>
        <v>60000</v>
      </c>
      <c r="G288" s="40">
        <f>20000*3</f>
        <v>60000</v>
      </c>
      <c r="H288" s="35">
        <v>0</v>
      </c>
      <c r="I288" s="35">
        <f t="shared" si="8"/>
        <v>60000</v>
      </c>
      <c r="J288" s="36">
        <f t="shared" si="9"/>
        <v>0</v>
      </c>
      <c r="K288" s="48" t="s">
        <v>37</v>
      </c>
      <c r="L288" s="48" t="s">
        <v>37</v>
      </c>
      <c r="M288" s="38">
        <v>41455</v>
      </c>
      <c r="N288" s="48" t="s">
        <v>64</v>
      </c>
      <c r="O288" s="41">
        <v>20000</v>
      </c>
      <c r="P288" s="41">
        <v>20000</v>
      </c>
      <c r="Q288" s="41">
        <v>20000</v>
      </c>
    </row>
    <row r="289" spans="1:17" s="15" customFormat="1" ht="26.25" customHeight="1" x14ac:dyDescent="0.2">
      <c r="A289" s="43" t="s">
        <v>394</v>
      </c>
      <c r="B289" s="46" t="s">
        <v>92</v>
      </c>
      <c r="C289" s="44" t="s">
        <v>409</v>
      </c>
      <c r="D289" s="34">
        <v>3951</v>
      </c>
      <c r="E289" s="46" t="s">
        <v>425</v>
      </c>
      <c r="F289" s="35">
        <f>40000*3</f>
        <v>120000</v>
      </c>
      <c r="G289" s="40">
        <f>40000*3</f>
        <v>120000</v>
      </c>
      <c r="H289" s="35">
        <v>0</v>
      </c>
      <c r="I289" s="35">
        <f t="shared" si="8"/>
        <v>120000</v>
      </c>
      <c r="J289" s="36">
        <f t="shared" si="9"/>
        <v>0</v>
      </c>
      <c r="K289" s="48" t="s">
        <v>37</v>
      </c>
      <c r="L289" s="48" t="s">
        <v>37</v>
      </c>
      <c r="M289" s="38">
        <v>41455</v>
      </c>
      <c r="N289" s="48" t="s">
        <v>64</v>
      </c>
      <c r="O289" s="41">
        <v>40000</v>
      </c>
      <c r="P289" s="41">
        <v>40000</v>
      </c>
      <c r="Q289" s="41">
        <v>40000</v>
      </c>
    </row>
    <row r="290" spans="1:17" s="15" customFormat="1" ht="26.25" customHeight="1" x14ac:dyDescent="0.2">
      <c r="A290" s="43" t="s">
        <v>940</v>
      </c>
      <c r="B290" s="46" t="s">
        <v>76</v>
      </c>
      <c r="C290" s="44" t="s">
        <v>947</v>
      </c>
      <c r="D290" s="34">
        <v>4969</v>
      </c>
      <c r="E290" s="46" t="s">
        <v>953</v>
      </c>
      <c r="F290" s="35">
        <v>77185</v>
      </c>
      <c r="G290" s="40">
        <v>77185</v>
      </c>
      <c r="H290" s="35">
        <v>0</v>
      </c>
      <c r="I290" s="35">
        <f t="shared" si="8"/>
        <v>77185</v>
      </c>
      <c r="J290" s="36">
        <f t="shared" si="9"/>
        <v>0</v>
      </c>
      <c r="K290" s="48" t="s">
        <v>37</v>
      </c>
      <c r="L290" s="48" t="s">
        <v>37</v>
      </c>
      <c r="M290" s="38">
        <v>41455</v>
      </c>
      <c r="N290" s="37"/>
      <c r="O290" s="35">
        <v>77185</v>
      </c>
      <c r="P290" s="35"/>
      <c r="Q290" s="35"/>
    </row>
    <row r="291" spans="1:17" s="15" customFormat="1" ht="26.25" customHeight="1" x14ac:dyDescent="0.2">
      <c r="A291" s="43" t="s">
        <v>165</v>
      </c>
      <c r="B291" s="46" t="s">
        <v>48</v>
      </c>
      <c r="C291" s="44" t="s">
        <v>96</v>
      </c>
      <c r="D291" s="34">
        <v>4043</v>
      </c>
      <c r="E291" s="46" t="s">
        <v>193</v>
      </c>
      <c r="F291" s="35">
        <v>9688</v>
      </c>
      <c r="G291" s="40">
        <v>9688</v>
      </c>
      <c r="H291" s="35">
        <v>0</v>
      </c>
      <c r="I291" s="35">
        <f t="shared" si="8"/>
        <v>9688</v>
      </c>
      <c r="J291" s="36">
        <f t="shared" si="9"/>
        <v>0</v>
      </c>
      <c r="K291" s="48" t="s">
        <v>37</v>
      </c>
      <c r="L291" s="48" t="s">
        <v>37</v>
      </c>
      <c r="M291" s="38">
        <v>41455</v>
      </c>
      <c r="N291" s="37"/>
      <c r="O291" s="41">
        <v>9688</v>
      </c>
      <c r="P291" s="41"/>
      <c r="Q291" s="41"/>
    </row>
    <row r="292" spans="1:17" s="15" customFormat="1" ht="26.25" customHeight="1" x14ac:dyDescent="0.2">
      <c r="A292" s="43" t="s">
        <v>1005</v>
      </c>
      <c r="B292" s="46" t="s">
        <v>48</v>
      </c>
      <c r="C292" s="44" t="s">
        <v>96</v>
      </c>
      <c r="D292" s="34">
        <v>5266</v>
      </c>
      <c r="E292" s="46" t="s">
        <v>1015</v>
      </c>
      <c r="F292" s="35">
        <v>8700</v>
      </c>
      <c r="G292" s="40">
        <v>9688</v>
      </c>
      <c r="H292" s="35">
        <v>8700</v>
      </c>
      <c r="I292" s="35">
        <f t="shared" si="8"/>
        <v>18388</v>
      </c>
      <c r="J292" s="36">
        <f t="shared" si="9"/>
        <v>0.89801816680429403</v>
      </c>
      <c r="K292" s="48" t="s">
        <v>37</v>
      </c>
      <c r="L292" s="48" t="s">
        <v>37</v>
      </c>
      <c r="M292" s="38">
        <v>41455</v>
      </c>
      <c r="N292" s="48" t="s">
        <v>36</v>
      </c>
      <c r="O292" s="35">
        <v>8700</v>
      </c>
      <c r="P292" s="35"/>
      <c r="Q292" s="35"/>
    </row>
    <row r="293" spans="1:17" s="15" customFormat="1" ht="26.25" customHeight="1" x14ac:dyDescent="0.2">
      <c r="A293" s="43" t="s">
        <v>324</v>
      </c>
      <c r="B293" s="46" t="s">
        <v>26</v>
      </c>
      <c r="C293" s="44" t="s">
        <v>347</v>
      </c>
      <c r="D293" s="47" t="s">
        <v>365</v>
      </c>
      <c r="E293" s="46" t="s">
        <v>35</v>
      </c>
      <c r="F293" s="35">
        <v>20000</v>
      </c>
      <c r="G293" s="40">
        <v>20000</v>
      </c>
      <c r="H293" s="35">
        <v>0</v>
      </c>
      <c r="I293" s="35">
        <f t="shared" si="8"/>
        <v>20000</v>
      </c>
      <c r="J293" s="36">
        <f t="shared" si="9"/>
        <v>0</v>
      </c>
      <c r="K293" s="48" t="s">
        <v>37</v>
      </c>
      <c r="L293" s="48" t="s">
        <v>37</v>
      </c>
      <c r="M293" s="38">
        <v>41455</v>
      </c>
      <c r="N293" s="48"/>
      <c r="O293" s="41">
        <v>20000</v>
      </c>
      <c r="P293" s="41"/>
      <c r="Q293" s="41"/>
    </row>
    <row r="294" spans="1:17" s="15" customFormat="1" ht="26.25" customHeight="1" x14ac:dyDescent="0.2">
      <c r="A294" s="43" t="s">
        <v>616</v>
      </c>
      <c r="B294" s="46" t="s">
        <v>17</v>
      </c>
      <c r="C294" s="44" t="s">
        <v>624</v>
      </c>
      <c r="D294" s="34">
        <v>4114</v>
      </c>
      <c r="E294" s="46" t="s">
        <v>634</v>
      </c>
      <c r="F294" s="35">
        <f>50000*3</f>
        <v>150000</v>
      </c>
      <c r="G294" s="40">
        <f>50000*3</f>
        <v>150000</v>
      </c>
      <c r="H294" s="35">
        <v>0</v>
      </c>
      <c r="I294" s="35">
        <f t="shared" si="8"/>
        <v>150000</v>
      </c>
      <c r="J294" s="36">
        <f t="shared" si="9"/>
        <v>0</v>
      </c>
      <c r="K294" s="48" t="s">
        <v>37</v>
      </c>
      <c r="L294" s="48" t="s">
        <v>37</v>
      </c>
      <c r="M294" s="38">
        <v>41455</v>
      </c>
      <c r="N294" s="48" t="s">
        <v>64</v>
      </c>
      <c r="O294" s="35">
        <v>50000</v>
      </c>
      <c r="P294" s="35">
        <v>50000</v>
      </c>
      <c r="Q294" s="35">
        <v>50000</v>
      </c>
    </row>
    <row r="295" spans="1:17" s="15" customFormat="1" ht="38.25" customHeight="1" x14ac:dyDescent="0.2">
      <c r="A295" s="43" t="s">
        <v>404</v>
      </c>
      <c r="B295" s="46" t="s">
        <v>18</v>
      </c>
      <c r="C295" s="44" t="s">
        <v>417</v>
      </c>
      <c r="D295" s="34">
        <v>3988</v>
      </c>
      <c r="E295" s="46" t="s">
        <v>435</v>
      </c>
      <c r="F295" s="35">
        <f>21000*3</f>
        <v>63000</v>
      </c>
      <c r="G295" s="40">
        <f>21000*3</f>
        <v>63000</v>
      </c>
      <c r="H295" s="35">
        <v>0</v>
      </c>
      <c r="I295" s="35">
        <f t="shared" si="8"/>
        <v>63000</v>
      </c>
      <c r="J295" s="36">
        <f t="shared" si="9"/>
        <v>0</v>
      </c>
      <c r="K295" s="48" t="s">
        <v>37</v>
      </c>
      <c r="L295" s="48" t="s">
        <v>37</v>
      </c>
      <c r="M295" s="38">
        <v>41455</v>
      </c>
      <c r="N295" s="48" t="s">
        <v>64</v>
      </c>
      <c r="O295" s="41">
        <v>21000</v>
      </c>
      <c r="P295" s="41">
        <v>21000</v>
      </c>
      <c r="Q295" s="41">
        <v>21000</v>
      </c>
    </row>
    <row r="296" spans="1:17" s="15" customFormat="1" ht="26.25" customHeight="1" x14ac:dyDescent="0.2">
      <c r="A296" s="43" t="s">
        <v>305</v>
      </c>
      <c r="B296" s="46" t="s">
        <v>26</v>
      </c>
      <c r="C296" s="44" t="s">
        <v>342</v>
      </c>
      <c r="D296" s="47" t="s">
        <v>356</v>
      </c>
      <c r="E296" s="46" t="s">
        <v>276</v>
      </c>
      <c r="F296" s="35">
        <v>20000</v>
      </c>
      <c r="G296" s="40">
        <v>20000</v>
      </c>
      <c r="H296" s="35">
        <v>0</v>
      </c>
      <c r="I296" s="35">
        <f t="shared" si="8"/>
        <v>20000</v>
      </c>
      <c r="J296" s="36">
        <f t="shared" si="9"/>
        <v>0</v>
      </c>
      <c r="K296" s="48" t="s">
        <v>37</v>
      </c>
      <c r="L296" s="48" t="s">
        <v>37</v>
      </c>
      <c r="M296" s="38">
        <v>41455</v>
      </c>
      <c r="N296" s="37"/>
      <c r="O296" s="41">
        <v>20000</v>
      </c>
      <c r="P296" s="41"/>
      <c r="Q296" s="41"/>
    </row>
    <row r="297" spans="1:17" s="15" customFormat="1" ht="26.25" customHeight="1" x14ac:dyDescent="0.2">
      <c r="A297" s="43" t="s">
        <v>1390</v>
      </c>
      <c r="B297" s="46" t="s">
        <v>49</v>
      </c>
      <c r="C297" s="44" t="s">
        <v>1397</v>
      </c>
      <c r="D297" s="47">
        <v>6246</v>
      </c>
      <c r="E297" s="46" t="s">
        <v>1406</v>
      </c>
      <c r="F297" s="35">
        <f>7022*2</f>
        <v>14044</v>
      </c>
      <c r="G297" s="40">
        <f>7022*2</f>
        <v>14044</v>
      </c>
      <c r="H297" s="35">
        <v>0</v>
      </c>
      <c r="I297" s="35">
        <f t="shared" si="8"/>
        <v>14044</v>
      </c>
      <c r="J297" s="36">
        <f t="shared" si="9"/>
        <v>0</v>
      </c>
      <c r="K297" s="48" t="s">
        <v>37</v>
      </c>
      <c r="L297" s="48" t="s">
        <v>37</v>
      </c>
      <c r="M297" s="38">
        <v>41820</v>
      </c>
      <c r="N297" s="48" t="s">
        <v>64</v>
      </c>
      <c r="O297" s="35">
        <v>7022</v>
      </c>
      <c r="P297" s="35">
        <v>7022</v>
      </c>
      <c r="Q297" s="35"/>
    </row>
    <row r="298" spans="1:17" s="15" customFormat="1" ht="26.25" customHeight="1" x14ac:dyDescent="0.2">
      <c r="A298" s="43" t="s">
        <v>1102</v>
      </c>
      <c r="B298" s="46" t="s">
        <v>17</v>
      </c>
      <c r="C298" s="44" t="s">
        <v>1111</v>
      </c>
      <c r="D298" s="34">
        <v>5393</v>
      </c>
      <c r="E298" s="46" t="s">
        <v>1117</v>
      </c>
      <c r="F298" s="35">
        <v>7000</v>
      </c>
      <c r="G298" s="40">
        <v>7000</v>
      </c>
      <c r="H298" s="35">
        <v>0</v>
      </c>
      <c r="I298" s="35">
        <f t="shared" si="8"/>
        <v>7000</v>
      </c>
      <c r="J298" s="36">
        <f t="shared" si="9"/>
        <v>0</v>
      </c>
      <c r="K298" s="48" t="s">
        <v>37</v>
      </c>
      <c r="L298" s="48" t="s">
        <v>42</v>
      </c>
      <c r="M298" s="38">
        <v>41362</v>
      </c>
      <c r="N298" s="48"/>
      <c r="O298" s="35">
        <v>7000</v>
      </c>
      <c r="P298" s="35"/>
      <c r="Q298" s="35"/>
    </row>
    <row r="299" spans="1:17" s="15" customFormat="1" ht="38.25" customHeight="1" x14ac:dyDescent="0.2">
      <c r="A299" s="43" t="s">
        <v>396</v>
      </c>
      <c r="B299" s="46" t="s">
        <v>92</v>
      </c>
      <c r="C299" s="44" t="s">
        <v>411</v>
      </c>
      <c r="D299" s="34">
        <v>4285</v>
      </c>
      <c r="E299" s="46" t="s">
        <v>427</v>
      </c>
      <c r="F299" s="35">
        <f>14250*3</f>
        <v>42750</v>
      </c>
      <c r="G299" s="40">
        <f>14250*3</f>
        <v>42750</v>
      </c>
      <c r="H299" s="35">
        <v>0</v>
      </c>
      <c r="I299" s="35">
        <f t="shared" si="8"/>
        <v>42750</v>
      </c>
      <c r="J299" s="36">
        <f t="shared" si="9"/>
        <v>0</v>
      </c>
      <c r="K299" s="48" t="s">
        <v>37</v>
      </c>
      <c r="L299" s="48" t="s">
        <v>37</v>
      </c>
      <c r="M299" s="38">
        <v>41455</v>
      </c>
      <c r="N299" s="48" t="s">
        <v>64</v>
      </c>
      <c r="O299" s="41">
        <v>14250</v>
      </c>
      <c r="P299" s="41">
        <v>14250</v>
      </c>
      <c r="Q299" s="41">
        <v>14250</v>
      </c>
    </row>
    <row r="300" spans="1:17" s="15" customFormat="1" ht="26.25" customHeight="1" x14ac:dyDescent="0.2">
      <c r="A300" s="43" t="s">
        <v>803</v>
      </c>
      <c r="B300" s="46" t="s">
        <v>825</v>
      </c>
      <c r="C300" s="44" t="s">
        <v>827</v>
      </c>
      <c r="D300" s="34">
        <v>4067</v>
      </c>
      <c r="E300" s="46" t="s">
        <v>849</v>
      </c>
      <c r="F300" s="35">
        <f>35000*3</f>
        <v>105000</v>
      </c>
      <c r="G300" s="40">
        <f>35000*3</f>
        <v>105000</v>
      </c>
      <c r="H300" s="35">
        <v>0</v>
      </c>
      <c r="I300" s="35">
        <f t="shared" si="8"/>
        <v>105000</v>
      </c>
      <c r="J300" s="36">
        <f t="shared" si="9"/>
        <v>0</v>
      </c>
      <c r="K300" s="48" t="s">
        <v>37</v>
      </c>
      <c r="L300" s="48" t="s">
        <v>42</v>
      </c>
      <c r="M300" s="38">
        <v>41455</v>
      </c>
      <c r="N300" s="48" t="s">
        <v>64</v>
      </c>
      <c r="O300" s="35">
        <v>35000</v>
      </c>
      <c r="P300" s="35">
        <v>35000</v>
      </c>
      <c r="Q300" s="35">
        <v>35000</v>
      </c>
    </row>
    <row r="301" spans="1:17" s="15" customFormat="1" ht="18" customHeight="1" x14ac:dyDescent="0.2">
      <c r="A301" s="43" t="s">
        <v>158</v>
      </c>
      <c r="B301" s="46" t="s">
        <v>75</v>
      </c>
      <c r="C301" s="44" t="s">
        <v>211</v>
      </c>
      <c r="D301" s="47">
        <v>3997</v>
      </c>
      <c r="E301" s="46" t="s">
        <v>186</v>
      </c>
      <c r="F301" s="35">
        <v>48810</v>
      </c>
      <c r="G301" s="40">
        <v>48810</v>
      </c>
      <c r="H301" s="35">
        <v>0</v>
      </c>
      <c r="I301" s="35">
        <f t="shared" si="8"/>
        <v>48810</v>
      </c>
      <c r="J301" s="36">
        <f t="shared" si="9"/>
        <v>0</v>
      </c>
      <c r="K301" s="48" t="s">
        <v>37</v>
      </c>
      <c r="L301" s="48" t="s">
        <v>37</v>
      </c>
      <c r="M301" s="38">
        <v>41455</v>
      </c>
      <c r="N301" s="37"/>
      <c r="O301" s="41">
        <v>48810</v>
      </c>
      <c r="P301" s="41"/>
      <c r="Q301" s="41"/>
    </row>
    <row r="302" spans="1:17" s="15" customFormat="1" ht="26.25" customHeight="1" x14ac:dyDescent="0.2">
      <c r="A302" s="43" t="s">
        <v>259</v>
      </c>
      <c r="B302" s="46" t="s">
        <v>281</v>
      </c>
      <c r="C302" s="44" t="s">
        <v>290</v>
      </c>
      <c r="D302" s="34">
        <v>4161</v>
      </c>
      <c r="E302" s="46" t="s">
        <v>275</v>
      </c>
      <c r="F302" s="35">
        <v>60000</v>
      </c>
      <c r="G302" s="40">
        <v>60000</v>
      </c>
      <c r="H302" s="35">
        <v>0</v>
      </c>
      <c r="I302" s="35">
        <f t="shared" si="8"/>
        <v>60000</v>
      </c>
      <c r="J302" s="36">
        <f t="shared" si="9"/>
        <v>0</v>
      </c>
      <c r="K302" s="48" t="s">
        <v>37</v>
      </c>
      <c r="L302" s="48" t="s">
        <v>37</v>
      </c>
      <c r="M302" s="38">
        <v>41639</v>
      </c>
      <c r="N302" s="37"/>
      <c r="O302" s="41">
        <v>60000</v>
      </c>
      <c r="P302" s="41"/>
      <c r="Q302" s="41"/>
    </row>
    <row r="303" spans="1:17" s="15" customFormat="1" ht="18" customHeight="1" x14ac:dyDescent="0.2">
      <c r="A303" s="43" t="s">
        <v>253</v>
      </c>
      <c r="B303" s="46" t="s">
        <v>39</v>
      </c>
      <c r="C303" s="44" t="s">
        <v>286</v>
      </c>
      <c r="D303" s="34">
        <v>4219</v>
      </c>
      <c r="E303" s="46" t="s">
        <v>269</v>
      </c>
      <c r="F303" s="35">
        <f>84654*3</f>
        <v>253962</v>
      </c>
      <c r="G303" s="40">
        <f>84654*3</f>
        <v>253962</v>
      </c>
      <c r="H303" s="35">
        <v>0</v>
      </c>
      <c r="I303" s="35">
        <f t="shared" si="8"/>
        <v>253962</v>
      </c>
      <c r="J303" s="36">
        <f t="shared" si="9"/>
        <v>0</v>
      </c>
      <c r="K303" s="48" t="s">
        <v>37</v>
      </c>
      <c r="L303" s="48" t="s">
        <v>37</v>
      </c>
      <c r="M303" s="38">
        <v>41455</v>
      </c>
      <c r="N303" s="48" t="s">
        <v>64</v>
      </c>
      <c r="O303" s="41">
        <v>84654</v>
      </c>
      <c r="P303" s="41">
        <v>84654</v>
      </c>
      <c r="Q303" s="41">
        <v>84654</v>
      </c>
    </row>
    <row r="304" spans="1:17" s="15" customFormat="1" ht="26.25" customHeight="1" x14ac:dyDescent="0.2">
      <c r="A304" s="43" t="s">
        <v>302</v>
      </c>
      <c r="B304" s="46" t="s">
        <v>48</v>
      </c>
      <c r="C304" s="44" t="s">
        <v>309</v>
      </c>
      <c r="D304" s="34">
        <v>3983</v>
      </c>
      <c r="E304" s="46" t="s">
        <v>315</v>
      </c>
      <c r="F304" s="35">
        <v>2500</v>
      </c>
      <c r="G304" s="40">
        <v>70000</v>
      </c>
      <c r="H304" s="35">
        <v>2500</v>
      </c>
      <c r="I304" s="35">
        <f t="shared" si="8"/>
        <v>72500</v>
      </c>
      <c r="J304" s="36">
        <f t="shared" si="9"/>
        <v>3.5714285714285712E-2</v>
      </c>
      <c r="K304" s="48" t="s">
        <v>37</v>
      </c>
      <c r="L304" s="56" t="s">
        <v>37</v>
      </c>
      <c r="M304" s="38">
        <v>41090</v>
      </c>
      <c r="N304" s="48" t="s">
        <v>36</v>
      </c>
      <c r="O304" s="41">
        <v>2500</v>
      </c>
      <c r="P304" s="41"/>
      <c r="Q304" s="41"/>
    </row>
    <row r="305" spans="1:17" s="15" customFormat="1" ht="26.25" customHeight="1" x14ac:dyDescent="0.2">
      <c r="A305" s="43" t="s">
        <v>1126</v>
      </c>
      <c r="B305" s="46" t="s">
        <v>1128</v>
      </c>
      <c r="C305" s="44" t="s">
        <v>309</v>
      </c>
      <c r="D305" s="34">
        <v>5468</v>
      </c>
      <c r="E305" s="46" t="s">
        <v>1131</v>
      </c>
      <c r="F305" s="35">
        <v>76500</v>
      </c>
      <c r="G305" s="40">
        <v>76500</v>
      </c>
      <c r="H305" s="35">
        <v>0</v>
      </c>
      <c r="I305" s="35">
        <f t="shared" si="8"/>
        <v>76500</v>
      </c>
      <c r="J305" s="36">
        <f t="shared" si="9"/>
        <v>0</v>
      </c>
      <c r="K305" s="48" t="s">
        <v>37</v>
      </c>
      <c r="L305" s="48" t="s">
        <v>37</v>
      </c>
      <c r="M305" s="38">
        <v>41578</v>
      </c>
      <c r="N305" s="48"/>
      <c r="O305" s="35">
        <v>76500</v>
      </c>
      <c r="P305" s="35"/>
      <c r="Q305" s="35"/>
    </row>
    <row r="306" spans="1:17" s="15" customFormat="1" ht="26.25" customHeight="1" x14ac:dyDescent="0.2">
      <c r="A306" s="43" t="s">
        <v>772</v>
      </c>
      <c r="B306" s="46" t="s">
        <v>17</v>
      </c>
      <c r="C306" s="44" t="s">
        <v>797</v>
      </c>
      <c r="D306" s="34">
        <v>4832</v>
      </c>
      <c r="E306" s="46" t="s">
        <v>784</v>
      </c>
      <c r="F306" s="35">
        <v>32000</v>
      </c>
      <c r="G306" s="40">
        <v>32000</v>
      </c>
      <c r="H306" s="35">
        <v>32000</v>
      </c>
      <c r="I306" s="35">
        <f t="shared" si="8"/>
        <v>64000</v>
      </c>
      <c r="J306" s="36">
        <f t="shared" si="9"/>
        <v>1</v>
      </c>
      <c r="K306" s="48" t="s">
        <v>37</v>
      </c>
      <c r="L306" s="48" t="s">
        <v>37</v>
      </c>
      <c r="M306" s="38">
        <v>41455</v>
      </c>
      <c r="N306" s="48" t="s">
        <v>36</v>
      </c>
      <c r="O306" s="35">
        <v>32000</v>
      </c>
      <c r="P306" s="35"/>
      <c r="Q306" s="35"/>
    </row>
    <row r="307" spans="1:17" s="15" customFormat="1" ht="26.25" customHeight="1" x14ac:dyDescent="0.2">
      <c r="A307" s="43" t="s">
        <v>886</v>
      </c>
      <c r="B307" s="46" t="s">
        <v>17</v>
      </c>
      <c r="C307" s="44" t="s">
        <v>797</v>
      </c>
      <c r="D307" s="34">
        <v>4107</v>
      </c>
      <c r="E307" s="46" t="s">
        <v>784</v>
      </c>
      <c r="F307" s="35">
        <f>32000*3</f>
        <v>96000</v>
      </c>
      <c r="G307" s="40">
        <f>32000*3</f>
        <v>96000</v>
      </c>
      <c r="H307" s="35">
        <v>0</v>
      </c>
      <c r="I307" s="35">
        <f t="shared" si="8"/>
        <v>96000</v>
      </c>
      <c r="J307" s="36">
        <f t="shared" si="9"/>
        <v>0</v>
      </c>
      <c r="K307" s="48" t="s">
        <v>37</v>
      </c>
      <c r="L307" s="48" t="s">
        <v>37</v>
      </c>
      <c r="M307" s="38">
        <v>41455</v>
      </c>
      <c r="N307" s="48" t="s">
        <v>64</v>
      </c>
      <c r="O307" s="35">
        <v>32000</v>
      </c>
      <c r="P307" s="35">
        <v>32000</v>
      </c>
      <c r="Q307" s="35">
        <v>32000</v>
      </c>
    </row>
    <row r="308" spans="1:17" s="15" customFormat="1" ht="26.25" customHeight="1" x14ac:dyDescent="0.2">
      <c r="A308" s="43" t="s">
        <v>1256</v>
      </c>
      <c r="B308" s="46" t="s">
        <v>17</v>
      </c>
      <c r="C308" s="44" t="s">
        <v>797</v>
      </c>
      <c r="D308" s="47" t="s">
        <v>1258</v>
      </c>
      <c r="E308" s="46" t="s">
        <v>1260</v>
      </c>
      <c r="F308" s="49">
        <f>30000*3</f>
        <v>90000</v>
      </c>
      <c r="G308" s="40">
        <v>32000</v>
      </c>
      <c r="H308" s="35">
        <f>32000+30000*3</f>
        <v>122000</v>
      </c>
      <c r="I308" s="35">
        <f t="shared" si="8"/>
        <v>154000</v>
      </c>
      <c r="J308" s="36">
        <f t="shared" si="9"/>
        <v>3.8125</v>
      </c>
      <c r="K308" s="48" t="s">
        <v>37</v>
      </c>
      <c r="L308" s="48" t="s">
        <v>37</v>
      </c>
      <c r="M308" s="38">
        <v>41455</v>
      </c>
      <c r="N308" s="48" t="s">
        <v>64</v>
      </c>
      <c r="O308" s="35">
        <v>30000</v>
      </c>
      <c r="P308" s="35">
        <v>30000</v>
      </c>
      <c r="Q308" s="35">
        <v>30000</v>
      </c>
    </row>
    <row r="309" spans="1:17" s="15" customFormat="1" ht="26.25" customHeight="1" x14ac:dyDescent="0.2">
      <c r="A309" s="43" t="s">
        <v>149</v>
      </c>
      <c r="B309" s="46" t="s">
        <v>17</v>
      </c>
      <c r="C309" s="44" t="s">
        <v>206</v>
      </c>
      <c r="D309" s="47">
        <v>3895</v>
      </c>
      <c r="E309" s="46" t="s">
        <v>202</v>
      </c>
      <c r="F309" s="35">
        <f>10000*3</f>
        <v>30000</v>
      </c>
      <c r="G309" s="40">
        <f>10000*3</f>
        <v>30000</v>
      </c>
      <c r="H309" s="35">
        <v>0</v>
      </c>
      <c r="I309" s="35">
        <f t="shared" si="8"/>
        <v>30000</v>
      </c>
      <c r="J309" s="36">
        <f t="shared" si="9"/>
        <v>0</v>
      </c>
      <c r="K309" s="48" t="s">
        <v>37</v>
      </c>
      <c r="L309" s="48" t="s">
        <v>37</v>
      </c>
      <c r="M309" s="38">
        <v>41455</v>
      </c>
      <c r="N309" s="48" t="s">
        <v>64</v>
      </c>
      <c r="O309" s="41">
        <v>10000</v>
      </c>
      <c r="P309" s="41">
        <v>10000</v>
      </c>
      <c r="Q309" s="41">
        <v>10000</v>
      </c>
    </row>
    <row r="310" spans="1:17" s="15" customFormat="1" ht="26.25" customHeight="1" x14ac:dyDescent="0.2">
      <c r="A310" s="43" t="s">
        <v>922</v>
      </c>
      <c r="B310" s="46" t="s">
        <v>17</v>
      </c>
      <c r="C310" s="44" t="s">
        <v>927</v>
      </c>
      <c r="D310" s="34">
        <v>5032</v>
      </c>
      <c r="E310" s="46" t="s">
        <v>932</v>
      </c>
      <c r="F310" s="35">
        <v>11690</v>
      </c>
      <c r="G310" s="40">
        <v>11690</v>
      </c>
      <c r="H310" s="35">
        <v>0</v>
      </c>
      <c r="I310" s="35">
        <f t="shared" si="8"/>
        <v>11690</v>
      </c>
      <c r="J310" s="36">
        <f t="shared" si="9"/>
        <v>0</v>
      </c>
      <c r="K310" s="48" t="s">
        <v>37</v>
      </c>
      <c r="L310" s="48" t="s">
        <v>37</v>
      </c>
      <c r="M310" s="38">
        <v>41455</v>
      </c>
      <c r="N310" s="37"/>
      <c r="O310" s="35">
        <v>11690</v>
      </c>
      <c r="P310" s="35"/>
      <c r="Q310" s="35"/>
    </row>
    <row r="311" spans="1:17" s="15" customFormat="1" ht="26.25" customHeight="1" x14ac:dyDescent="0.2">
      <c r="A311" s="43" t="s">
        <v>613</v>
      </c>
      <c r="B311" s="46" t="s">
        <v>39</v>
      </c>
      <c r="C311" s="44" t="s">
        <v>621</v>
      </c>
      <c r="D311" s="34">
        <v>4661</v>
      </c>
      <c r="E311" s="46" t="s">
        <v>628</v>
      </c>
      <c r="F311" s="35">
        <v>99000</v>
      </c>
      <c r="G311" s="40">
        <v>99000</v>
      </c>
      <c r="H311" s="35">
        <v>0</v>
      </c>
      <c r="I311" s="35">
        <f t="shared" si="8"/>
        <v>99000</v>
      </c>
      <c r="J311" s="36">
        <f t="shared" si="9"/>
        <v>0</v>
      </c>
      <c r="K311" s="48" t="s">
        <v>37</v>
      </c>
      <c r="L311" s="48" t="s">
        <v>37</v>
      </c>
      <c r="M311" s="38">
        <v>41455</v>
      </c>
      <c r="N311" s="48"/>
      <c r="O311" s="35">
        <v>99000</v>
      </c>
      <c r="P311" s="35"/>
      <c r="Q311" s="35"/>
    </row>
    <row r="312" spans="1:17" s="15" customFormat="1" ht="26.25" customHeight="1" x14ac:dyDescent="0.2">
      <c r="A312" s="43" t="s">
        <v>1365</v>
      </c>
      <c r="B312" s="46" t="s">
        <v>40</v>
      </c>
      <c r="C312" s="44" t="s">
        <v>621</v>
      </c>
      <c r="D312" s="47" t="s">
        <v>41</v>
      </c>
      <c r="E312" s="46" t="s">
        <v>1370</v>
      </c>
      <c r="F312" s="35">
        <v>92000</v>
      </c>
      <c r="G312" s="40">
        <v>92000</v>
      </c>
      <c r="H312" s="35">
        <v>0</v>
      </c>
      <c r="I312" s="35">
        <f t="shared" si="8"/>
        <v>92000</v>
      </c>
      <c r="J312" s="36">
        <f t="shared" si="9"/>
        <v>0</v>
      </c>
      <c r="K312" s="48" t="s">
        <v>37</v>
      </c>
      <c r="L312" s="48" t="s">
        <v>37</v>
      </c>
      <c r="M312" s="38">
        <v>41455</v>
      </c>
      <c r="N312" s="48"/>
      <c r="O312" s="49">
        <v>92000</v>
      </c>
      <c r="P312" s="35"/>
      <c r="Q312" s="35"/>
    </row>
    <row r="313" spans="1:17" s="15" customFormat="1" ht="26.25" customHeight="1" x14ac:dyDescent="0.2">
      <c r="A313" s="43" t="s">
        <v>1109</v>
      </c>
      <c r="B313" s="46" t="s">
        <v>17</v>
      </c>
      <c r="C313" s="44" t="s">
        <v>1114</v>
      </c>
      <c r="D313" s="34">
        <v>5508</v>
      </c>
      <c r="E313" s="46" t="s">
        <v>1124</v>
      </c>
      <c r="F313" s="35">
        <v>21000</v>
      </c>
      <c r="G313" s="40">
        <v>21000</v>
      </c>
      <c r="H313" s="35">
        <v>0</v>
      </c>
      <c r="I313" s="35">
        <f t="shared" si="8"/>
        <v>21000</v>
      </c>
      <c r="J313" s="36">
        <f t="shared" si="9"/>
        <v>0</v>
      </c>
      <c r="K313" s="48" t="s">
        <v>42</v>
      </c>
      <c r="L313" s="48" t="s">
        <v>37</v>
      </c>
      <c r="M313" s="38">
        <v>41341</v>
      </c>
      <c r="N313" s="48"/>
      <c r="O313" s="35">
        <v>21000</v>
      </c>
      <c r="P313" s="35"/>
      <c r="Q313" s="35"/>
    </row>
    <row r="314" spans="1:17" s="15" customFormat="1" ht="26.25" customHeight="1" x14ac:dyDescent="0.2">
      <c r="A314" s="43" t="s">
        <v>985</v>
      </c>
      <c r="B314" s="46" t="s">
        <v>39</v>
      </c>
      <c r="C314" s="44" t="s">
        <v>988</v>
      </c>
      <c r="D314" s="34">
        <v>4929</v>
      </c>
      <c r="E314" s="46" t="s">
        <v>991</v>
      </c>
      <c r="F314" s="35">
        <f>8566*3</f>
        <v>25698</v>
      </c>
      <c r="G314" s="40">
        <f>8566*3</f>
        <v>25698</v>
      </c>
      <c r="H314" s="35">
        <v>0</v>
      </c>
      <c r="I314" s="35">
        <f t="shared" si="8"/>
        <v>25698</v>
      </c>
      <c r="J314" s="36">
        <f t="shared" si="9"/>
        <v>0</v>
      </c>
      <c r="K314" s="48" t="s">
        <v>37</v>
      </c>
      <c r="L314" s="48" t="s">
        <v>37</v>
      </c>
      <c r="M314" s="38">
        <v>41638</v>
      </c>
      <c r="N314" s="48" t="s">
        <v>64</v>
      </c>
      <c r="O314" s="35">
        <v>8566</v>
      </c>
      <c r="P314" s="35">
        <v>8566</v>
      </c>
      <c r="Q314" s="35">
        <v>8566</v>
      </c>
    </row>
    <row r="315" spans="1:17" s="15" customFormat="1" ht="26.25" customHeight="1" x14ac:dyDescent="0.2">
      <c r="A315" s="43" t="s">
        <v>134</v>
      </c>
      <c r="B315" s="46" t="s">
        <v>39</v>
      </c>
      <c r="C315" s="44" t="s">
        <v>142</v>
      </c>
      <c r="D315" s="34">
        <v>3727</v>
      </c>
      <c r="E315" s="46" t="s">
        <v>138</v>
      </c>
      <c r="F315" s="35">
        <v>99064</v>
      </c>
      <c r="G315" s="40">
        <v>99064</v>
      </c>
      <c r="H315" s="35"/>
      <c r="I315" s="35">
        <f t="shared" si="8"/>
        <v>99064</v>
      </c>
      <c r="J315" s="36">
        <f t="shared" si="9"/>
        <v>0</v>
      </c>
      <c r="K315" s="48" t="s">
        <v>42</v>
      </c>
      <c r="L315" s="48" t="s">
        <v>42</v>
      </c>
      <c r="M315" s="38">
        <v>41465</v>
      </c>
      <c r="N315" s="37"/>
      <c r="O315" s="41">
        <v>99064</v>
      </c>
      <c r="P315" s="41"/>
      <c r="Q315" s="41"/>
    </row>
    <row r="316" spans="1:17" s="15" customFormat="1" ht="18" customHeight="1" x14ac:dyDescent="0.2">
      <c r="A316" s="43" t="s">
        <v>218</v>
      </c>
      <c r="B316" s="46" t="s">
        <v>39</v>
      </c>
      <c r="C316" s="44" t="s">
        <v>230</v>
      </c>
      <c r="D316" s="34">
        <v>4201</v>
      </c>
      <c r="E316" s="46" t="s">
        <v>236</v>
      </c>
      <c r="F316" s="35">
        <v>10138</v>
      </c>
      <c r="G316" s="40">
        <v>10138</v>
      </c>
      <c r="H316" s="35">
        <v>0</v>
      </c>
      <c r="I316" s="35">
        <f t="shared" si="8"/>
        <v>10138</v>
      </c>
      <c r="J316" s="36">
        <f t="shared" si="9"/>
        <v>0</v>
      </c>
      <c r="K316" s="48" t="s">
        <v>37</v>
      </c>
      <c r="L316" s="48" t="s">
        <v>37</v>
      </c>
      <c r="M316" s="38">
        <v>41419</v>
      </c>
      <c r="N316" s="37"/>
      <c r="O316" s="41">
        <v>10138</v>
      </c>
      <c r="P316" s="41"/>
      <c r="Q316" s="41"/>
    </row>
    <row r="317" spans="1:17" s="15" customFormat="1" ht="26.25" customHeight="1" x14ac:dyDescent="0.2">
      <c r="A317" s="43" t="s">
        <v>888</v>
      </c>
      <c r="B317" s="46" t="s">
        <v>39</v>
      </c>
      <c r="C317" s="44" t="s">
        <v>230</v>
      </c>
      <c r="D317" s="34">
        <v>4806</v>
      </c>
      <c r="E317" s="46" t="s">
        <v>883</v>
      </c>
      <c r="F317" s="35">
        <v>35273</v>
      </c>
      <c r="G317" s="40">
        <v>35273</v>
      </c>
      <c r="H317" s="35">
        <v>0</v>
      </c>
      <c r="I317" s="35">
        <f t="shared" si="8"/>
        <v>35273</v>
      </c>
      <c r="J317" s="36">
        <f t="shared" si="9"/>
        <v>0</v>
      </c>
      <c r="K317" s="48" t="s">
        <v>37</v>
      </c>
      <c r="L317" s="48" t="s">
        <v>37</v>
      </c>
      <c r="M317" s="38">
        <v>41614</v>
      </c>
      <c r="N317" s="37"/>
      <c r="O317" s="35">
        <v>35273</v>
      </c>
      <c r="P317" s="35"/>
      <c r="Q317" s="35"/>
    </row>
    <row r="318" spans="1:17" s="15" customFormat="1" ht="26.25" customHeight="1" x14ac:dyDescent="0.2">
      <c r="A318" s="43" t="s">
        <v>919</v>
      </c>
      <c r="B318" s="46" t="s">
        <v>39</v>
      </c>
      <c r="C318" s="44" t="s">
        <v>230</v>
      </c>
      <c r="D318" s="34">
        <v>5157</v>
      </c>
      <c r="E318" s="46" t="s">
        <v>929</v>
      </c>
      <c r="F318" s="35">
        <v>22500</v>
      </c>
      <c r="G318" s="40">
        <v>22500</v>
      </c>
      <c r="H318" s="35">
        <v>0</v>
      </c>
      <c r="I318" s="35">
        <f t="shared" si="8"/>
        <v>22500</v>
      </c>
      <c r="J318" s="36">
        <f t="shared" si="9"/>
        <v>0</v>
      </c>
      <c r="K318" s="48" t="s">
        <v>37</v>
      </c>
      <c r="L318" s="48" t="s">
        <v>42</v>
      </c>
      <c r="M318" s="38">
        <v>41455</v>
      </c>
      <c r="N318" s="37"/>
      <c r="O318" s="35">
        <v>22500</v>
      </c>
      <c r="P318" s="35"/>
      <c r="Q318" s="35"/>
    </row>
    <row r="319" spans="1:17" s="15" customFormat="1" ht="26.25" customHeight="1" x14ac:dyDescent="0.2">
      <c r="A319" s="43" t="s">
        <v>1061</v>
      </c>
      <c r="B319" s="46" t="s">
        <v>39</v>
      </c>
      <c r="C319" s="44" t="s">
        <v>230</v>
      </c>
      <c r="D319" s="34">
        <v>5345</v>
      </c>
      <c r="E319" s="46" t="s">
        <v>1074</v>
      </c>
      <c r="F319" s="35">
        <f>19147*3</f>
        <v>57441</v>
      </c>
      <c r="G319" s="40">
        <f>19147*3</f>
        <v>57441</v>
      </c>
      <c r="H319" s="35">
        <v>0</v>
      </c>
      <c r="I319" s="35">
        <f t="shared" si="8"/>
        <v>57441</v>
      </c>
      <c r="J319" s="36">
        <f t="shared" si="9"/>
        <v>0</v>
      </c>
      <c r="K319" s="48" t="s">
        <v>37</v>
      </c>
      <c r="L319" s="48" t="s">
        <v>37</v>
      </c>
      <c r="M319" s="38">
        <v>41698</v>
      </c>
      <c r="N319" s="48" t="s">
        <v>64</v>
      </c>
      <c r="O319" s="35">
        <v>19147</v>
      </c>
      <c r="P319" s="35">
        <v>19147</v>
      </c>
      <c r="Q319" s="49">
        <v>19147</v>
      </c>
    </row>
    <row r="320" spans="1:17" s="15" customFormat="1" ht="26.25" customHeight="1" x14ac:dyDescent="0.2">
      <c r="A320" s="43" t="s">
        <v>1062</v>
      </c>
      <c r="B320" s="46" t="s">
        <v>39</v>
      </c>
      <c r="C320" s="44" t="s">
        <v>230</v>
      </c>
      <c r="D320" s="34">
        <v>5346</v>
      </c>
      <c r="E320" s="46" t="s">
        <v>1075</v>
      </c>
      <c r="F320" s="35">
        <f>18785*3</f>
        <v>56355</v>
      </c>
      <c r="G320" s="40">
        <f>18785*3</f>
        <v>56355</v>
      </c>
      <c r="H320" s="35">
        <v>0</v>
      </c>
      <c r="I320" s="35">
        <f t="shared" ref="I320:I383" si="10">G320+H320</f>
        <v>56355</v>
      </c>
      <c r="J320" s="36">
        <f t="shared" ref="J320:J383" si="11">IF(G320=0,100%,(I320-G320)/G320)</f>
        <v>0</v>
      </c>
      <c r="K320" s="48" t="s">
        <v>37</v>
      </c>
      <c r="L320" s="48" t="s">
        <v>37</v>
      </c>
      <c r="M320" s="38">
        <v>41698</v>
      </c>
      <c r="N320" s="48" t="s">
        <v>64</v>
      </c>
      <c r="O320" s="35">
        <v>18785</v>
      </c>
      <c r="P320" s="35">
        <v>18785</v>
      </c>
      <c r="Q320" s="35">
        <v>18785</v>
      </c>
    </row>
    <row r="321" spans="1:17" s="15" customFormat="1" ht="26.25" customHeight="1" x14ac:dyDescent="0.2">
      <c r="A321" s="43" t="s">
        <v>1106</v>
      </c>
      <c r="B321" s="46" t="s">
        <v>39</v>
      </c>
      <c r="C321" s="44" t="s">
        <v>230</v>
      </c>
      <c r="D321" s="34">
        <v>5497</v>
      </c>
      <c r="E321" s="46" t="s">
        <v>1121</v>
      </c>
      <c r="F321" s="40">
        <f>17864+18400+19000</f>
        <v>55264</v>
      </c>
      <c r="G321" s="40">
        <f>17864+18400+19000</f>
        <v>55264</v>
      </c>
      <c r="H321" s="35">
        <v>0</v>
      </c>
      <c r="I321" s="35">
        <f t="shared" si="10"/>
        <v>55264</v>
      </c>
      <c r="J321" s="36">
        <f t="shared" si="11"/>
        <v>0</v>
      </c>
      <c r="K321" s="48" t="s">
        <v>37</v>
      </c>
      <c r="L321" s="48" t="s">
        <v>37</v>
      </c>
      <c r="M321" s="38">
        <v>41488</v>
      </c>
      <c r="N321" s="48" t="s">
        <v>64</v>
      </c>
      <c r="O321" s="35">
        <v>17864</v>
      </c>
      <c r="P321" s="35">
        <v>18400</v>
      </c>
      <c r="Q321" s="35">
        <v>19000</v>
      </c>
    </row>
    <row r="322" spans="1:17" s="15" customFormat="1" ht="26.25" customHeight="1" x14ac:dyDescent="0.2">
      <c r="A322" s="43" t="s">
        <v>1135</v>
      </c>
      <c r="B322" s="46" t="s">
        <v>39</v>
      </c>
      <c r="C322" s="44" t="s">
        <v>230</v>
      </c>
      <c r="D322" s="34">
        <v>5606</v>
      </c>
      <c r="E322" s="46" t="s">
        <v>1142</v>
      </c>
      <c r="F322" s="35">
        <f>49790*3</f>
        <v>149370</v>
      </c>
      <c r="G322" s="40">
        <f>49790*3</f>
        <v>149370</v>
      </c>
      <c r="H322" s="35">
        <v>0</v>
      </c>
      <c r="I322" s="35">
        <f t="shared" si="10"/>
        <v>149370</v>
      </c>
      <c r="J322" s="36">
        <f t="shared" si="11"/>
        <v>0</v>
      </c>
      <c r="K322" s="48" t="s">
        <v>37</v>
      </c>
      <c r="L322" s="48" t="s">
        <v>37</v>
      </c>
      <c r="M322" s="38">
        <v>41790</v>
      </c>
      <c r="N322" s="48" t="s">
        <v>64</v>
      </c>
      <c r="O322" s="35">
        <v>49790</v>
      </c>
      <c r="P322" s="35">
        <v>49790</v>
      </c>
      <c r="Q322" s="35">
        <v>49790</v>
      </c>
    </row>
    <row r="323" spans="1:17" s="15" customFormat="1" ht="26.25" customHeight="1" x14ac:dyDescent="0.2">
      <c r="A323" s="43" t="s">
        <v>1148</v>
      </c>
      <c r="B323" s="46" t="s">
        <v>39</v>
      </c>
      <c r="C323" s="44" t="s">
        <v>230</v>
      </c>
      <c r="D323" s="34">
        <v>5605</v>
      </c>
      <c r="E323" s="46" t="s">
        <v>1156</v>
      </c>
      <c r="F323" s="35">
        <f>59833*3</f>
        <v>179499</v>
      </c>
      <c r="G323" s="40">
        <f>59833*3</f>
        <v>179499</v>
      </c>
      <c r="H323" s="35">
        <v>0</v>
      </c>
      <c r="I323" s="35">
        <f t="shared" si="10"/>
        <v>179499</v>
      </c>
      <c r="J323" s="36">
        <f t="shared" si="11"/>
        <v>0</v>
      </c>
      <c r="K323" s="48" t="s">
        <v>37</v>
      </c>
      <c r="L323" s="48" t="s">
        <v>37</v>
      </c>
      <c r="M323" s="38">
        <v>41790</v>
      </c>
      <c r="N323" s="48" t="s">
        <v>64</v>
      </c>
      <c r="O323" s="35">
        <v>59833</v>
      </c>
      <c r="P323" s="35">
        <v>59833</v>
      </c>
      <c r="Q323" s="35">
        <v>59833</v>
      </c>
    </row>
    <row r="324" spans="1:17" s="15" customFormat="1" ht="18" customHeight="1" x14ac:dyDescent="0.2">
      <c r="A324" s="43" t="s">
        <v>1174</v>
      </c>
      <c r="B324" s="46" t="s">
        <v>39</v>
      </c>
      <c r="C324" s="44" t="s">
        <v>230</v>
      </c>
      <c r="D324" s="34">
        <v>5689</v>
      </c>
      <c r="E324" s="46" t="s">
        <v>1172</v>
      </c>
      <c r="F324" s="35">
        <f>8402+8654+8914</f>
        <v>25970</v>
      </c>
      <c r="G324" s="40">
        <f>8402+8654+8914</f>
        <v>25970</v>
      </c>
      <c r="H324" s="35">
        <v>0</v>
      </c>
      <c r="I324" s="35">
        <f t="shared" si="10"/>
        <v>25970</v>
      </c>
      <c r="J324" s="36">
        <f t="shared" si="11"/>
        <v>0</v>
      </c>
      <c r="K324" s="48" t="s">
        <v>37</v>
      </c>
      <c r="L324" s="48" t="s">
        <v>37</v>
      </c>
      <c r="M324" s="38">
        <v>41784</v>
      </c>
      <c r="N324" s="48" t="s">
        <v>64</v>
      </c>
      <c r="O324" s="35">
        <v>8402</v>
      </c>
      <c r="P324" s="35">
        <v>8654</v>
      </c>
      <c r="Q324" s="35">
        <v>8914</v>
      </c>
    </row>
    <row r="325" spans="1:17" s="15" customFormat="1" ht="26.25" customHeight="1" x14ac:dyDescent="0.2">
      <c r="A325" s="43" t="s">
        <v>1247</v>
      </c>
      <c r="B325" s="46" t="s">
        <v>39</v>
      </c>
      <c r="C325" s="44" t="s">
        <v>230</v>
      </c>
      <c r="D325" s="47">
        <v>5691</v>
      </c>
      <c r="E325" s="46" t="s">
        <v>1238</v>
      </c>
      <c r="F325" s="35">
        <v>28050</v>
      </c>
      <c r="G325" s="40">
        <v>28050</v>
      </c>
      <c r="H325" s="35">
        <v>0</v>
      </c>
      <c r="I325" s="35">
        <f t="shared" si="10"/>
        <v>28050</v>
      </c>
      <c r="J325" s="36">
        <f t="shared" si="11"/>
        <v>0</v>
      </c>
      <c r="K325" s="48" t="s">
        <v>37</v>
      </c>
      <c r="L325" s="48" t="s">
        <v>37</v>
      </c>
      <c r="M325" s="38">
        <v>41804</v>
      </c>
      <c r="N325" s="48"/>
      <c r="O325" s="35">
        <v>28050</v>
      </c>
      <c r="P325" s="35"/>
      <c r="Q325" s="35"/>
    </row>
    <row r="326" spans="1:17" s="15" customFormat="1" ht="26.25" customHeight="1" x14ac:dyDescent="0.2">
      <c r="A326" s="43" t="s">
        <v>1412</v>
      </c>
      <c r="B326" s="46" t="s">
        <v>39</v>
      </c>
      <c r="C326" s="44" t="s">
        <v>230</v>
      </c>
      <c r="D326" s="34">
        <v>6305</v>
      </c>
      <c r="E326" s="46" t="s">
        <v>1415</v>
      </c>
      <c r="F326" s="35">
        <f>75714*3</f>
        <v>227142</v>
      </c>
      <c r="G326" s="40">
        <f>75714*3</f>
        <v>227142</v>
      </c>
      <c r="H326" s="35">
        <v>0</v>
      </c>
      <c r="I326" s="35">
        <f t="shared" si="10"/>
        <v>227142</v>
      </c>
      <c r="J326" s="36">
        <f t="shared" si="11"/>
        <v>0</v>
      </c>
      <c r="K326" s="48" t="s">
        <v>37</v>
      </c>
      <c r="L326" s="48" t="s">
        <v>37</v>
      </c>
      <c r="M326" s="38">
        <v>41846</v>
      </c>
      <c r="N326" s="48" t="s">
        <v>64</v>
      </c>
      <c r="O326" s="35">
        <v>75714</v>
      </c>
      <c r="P326" s="35">
        <v>75714</v>
      </c>
      <c r="Q326" s="35">
        <v>75714</v>
      </c>
    </row>
    <row r="327" spans="1:17" s="15" customFormat="1" ht="38.25" customHeight="1" x14ac:dyDescent="0.2">
      <c r="A327" s="43" t="s">
        <v>249</v>
      </c>
      <c r="B327" s="46" t="s">
        <v>17</v>
      </c>
      <c r="C327" s="44" t="s">
        <v>282</v>
      </c>
      <c r="D327" s="34">
        <v>4047</v>
      </c>
      <c r="E327" s="46" t="s">
        <v>267</v>
      </c>
      <c r="F327" s="35">
        <f>60000*3</f>
        <v>180000</v>
      </c>
      <c r="G327" s="40">
        <f>60000*3</f>
        <v>180000</v>
      </c>
      <c r="H327" s="35">
        <v>0</v>
      </c>
      <c r="I327" s="35">
        <f t="shared" si="10"/>
        <v>180000</v>
      </c>
      <c r="J327" s="36">
        <f t="shared" si="11"/>
        <v>0</v>
      </c>
      <c r="K327" s="48" t="s">
        <v>37</v>
      </c>
      <c r="L327" s="48" t="s">
        <v>37</v>
      </c>
      <c r="M327" s="38">
        <v>41455</v>
      </c>
      <c r="N327" s="48" t="s">
        <v>64</v>
      </c>
      <c r="O327" s="41">
        <v>60000</v>
      </c>
      <c r="P327" s="41">
        <v>60000</v>
      </c>
      <c r="Q327" s="41">
        <v>60000</v>
      </c>
    </row>
    <row r="328" spans="1:17" s="15" customFormat="1" ht="26.25" customHeight="1" x14ac:dyDescent="0.2">
      <c r="A328" s="43" t="s">
        <v>809</v>
      </c>
      <c r="B328" s="46" t="s">
        <v>825</v>
      </c>
      <c r="C328" s="44" t="s">
        <v>833</v>
      </c>
      <c r="D328" s="34">
        <v>4100</v>
      </c>
      <c r="E328" s="46" t="s">
        <v>855</v>
      </c>
      <c r="F328" s="35">
        <f>15000*3</f>
        <v>45000</v>
      </c>
      <c r="G328" s="40">
        <f>15000*3</f>
        <v>45000</v>
      </c>
      <c r="H328" s="35">
        <v>0</v>
      </c>
      <c r="I328" s="35">
        <f t="shared" si="10"/>
        <v>45000</v>
      </c>
      <c r="J328" s="36">
        <f t="shared" si="11"/>
        <v>0</v>
      </c>
      <c r="K328" s="48" t="s">
        <v>37</v>
      </c>
      <c r="L328" s="48" t="s">
        <v>37</v>
      </c>
      <c r="M328" s="38">
        <v>41455</v>
      </c>
      <c r="N328" s="48" t="s">
        <v>64</v>
      </c>
      <c r="O328" s="35">
        <v>15000</v>
      </c>
      <c r="P328" s="35">
        <v>15000</v>
      </c>
      <c r="Q328" s="35">
        <v>15000</v>
      </c>
    </row>
    <row r="329" spans="1:17" s="15" customFormat="1" ht="26.25" customHeight="1" x14ac:dyDescent="0.2">
      <c r="A329" s="43" t="s">
        <v>775</v>
      </c>
      <c r="B329" s="46" t="s">
        <v>790</v>
      </c>
      <c r="C329" s="44" t="s">
        <v>800</v>
      </c>
      <c r="D329" s="34">
        <v>4878</v>
      </c>
      <c r="E329" s="46" t="s">
        <v>787</v>
      </c>
      <c r="F329" s="35">
        <v>73960</v>
      </c>
      <c r="G329" s="40">
        <v>73960</v>
      </c>
      <c r="H329" s="35">
        <v>0</v>
      </c>
      <c r="I329" s="35">
        <f t="shared" si="10"/>
        <v>73960</v>
      </c>
      <c r="J329" s="36">
        <f t="shared" si="11"/>
        <v>0</v>
      </c>
      <c r="K329" s="48" t="s">
        <v>37</v>
      </c>
      <c r="L329" s="48" t="s">
        <v>37</v>
      </c>
      <c r="M329" s="38">
        <v>42674</v>
      </c>
      <c r="N329" s="37"/>
      <c r="O329" s="35">
        <v>73960</v>
      </c>
      <c r="P329" s="35"/>
      <c r="Q329" s="35"/>
    </row>
    <row r="330" spans="1:17" s="15" customFormat="1" ht="26.25" customHeight="1" x14ac:dyDescent="0.2">
      <c r="A330" s="43" t="s">
        <v>522</v>
      </c>
      <c r="B330" s="46" t="s">
        <v>50</v>
      </c>
      <c r="C330" s="44" t="s">
        <v>86</v>
      </c>
      <c r="D330" s="47">
        <v>4374</v>
      </c>
      <c r="E330" s="46" t="s">
        <v>529</v>
      </c>
      <c r="F330" s="35">
        <v>50211</v>
      </c>
      <c r="G330" s="40">
        <v>50211</v>
      </c>
      <c r="H330" s="35">
        <v>0</v>
      </c>
      <c r="I330" s="35">
        <f t="shared" si="10"/>
        <v>50211</v>
      </c>
      <c r="J330" s="36">
        <f t="shared" si="11"/>
        <v>0</v>
      </c>
      <c r="K330" s="48" t="s">
        <v>37</v>
      </c>
      <c r="L330" s="48" t="s">
        <v>37</v>
      </c>
      <c r="M330" s="38">
        <v>42247</v>
      </c>
      <c r="N330" s="48"/>
      <c r="O330" s="41">
        <v>50211</v>
      </c>
      <c r="P330" s="41"/>
      <c r="Q330" s="41"/>
    </row>
    <row r="331" spans="1:17" s="15" customFormat="1" ht="26.25" customHeight="1" x14ac:dyDescent="0.2">
      <c r="A331" s="43" t="s">
        <v>547</v>
      </c>
      <c r="B331" s="46" t="s">
        <v>50</v>
      </c>
      <c r="C331" s="44" t="s">
        <v>560</v>
      </c>
      <c r="D331" s="47">
        <v>4079</v>
      </c>
      <c r="E331" s="46" t="s">
        <v>577</v>
      </c>
      <c r="F331" s="35">
        <f>10112*3</f>
        <v>30336</v>
      </c>
      <c r="G331" s="40">
        <f>10112*3</f>
        <v>30336</v>
      </c>
      <c r="H331" s="35">
        <v>0</v>
      </c>
      <c r="I331" s="35">
        <f t="shared" si="10"/>
        <v>30336</v>
      </c>
      <c r="J331" s="36">
        <f t="shared" si="11"/>
        <v>0</v>
      </c>
      <c r="K331" s="48" t="s">
        <v>37</v>
      </c>
      <c r="L331" s="48" t="s">
        <v>37</v>
      </c>
      <c r="M331" s="38">
        <v>41455</v>
      </c>
      <c r="N331" s="48" t="s">
        <v>64</v>
      </c>
      <c r="O331" s="41">
        <v>10112</v>
      </c>
      <c r="P331" s="41">
        <v>10112</v>
      </c>
      <c r="Q331" s="41">
        <v>10112</v>
      </c>
    </row>
    <row r="332" spans="1:17" s="15" customFormat="1" ht="26.25" customHeight="1" x14ac:dyDescent="0.2">
      <c r="A332" s="43" t="s">
        <v>1251</v>
      </c>
      <c r="B332" s="46" t="s">
        <v>48</v>
      </c>
      <c r="C332" s="44" t="s">
        <v>1231</v>
      </c>
      <c r="D332" s="47">
        <v>5812</v>
      </c>
      <c r="E332" s="46" t="s">
        <v>1241</v>
      </c>
      <c r="F332" s="35">
        <v>15232</v>
      </c>
      <c r="G332" s="40">
        <v>15232</v>
      </c>
      <c r="H332" s="35">
        <v>0</v>
      </c>
      <c r="I332" s="35">
        <f t="shared" si="10"/>
        <v>15232</v>
      </c>
      <c r="J332" s="36">
        <f t="shared" si="11"/>
        <v>0</v>
      </c>
      <c r="K332" s="48" t="s">
        <v>37</v>
      </c>
      <c r="L332" s="48" t="s">
        <v>37</v>
      </c>
      <c r="M332" s="38">
        <v>41399</v>
      </c>
      <c r="N332" s="48"/>
      <c r="O332" s="35">
        <v>15232</v>
      </c>
      <c r="P332" s="35"/>
      <c r="Q332" s="35"/>
    </row>
    <row r="333" spans="1:17" s="15" customFormat="1" ht="26.25" customHeight="1" x14ac:dyDescent="0.2">
      <c r="A333" s="43" t="s">
        <v>299</v>
      </c>
      <c r="B333" s="46" t="s">
        <v>17</v>
      </c>
      <c r="C333" s="44" t="s">
        <v>306</v>
      </c>
      <c r="D333" s="34">
        <v>4174</v>
      </c>
      <c r="E333" s="46" t="s">
        <v>312</v>
      </c>
      <c r="F333" s="35">
        <v>16000</v>
      </c>
      <c r="G333" s="40">
        <v>16000</v>
      </c>
      <c r="H333" s="35">
        <v>0</v>
      </c>
      <c r="I333" s="35">
        <f t="shared" si="10"/>
        <v>16000</v>
      </c>
      <c r="J333" s="36">
        <f t="shared" si="11"/>
        <v>0</v>
      </c>
      <c r="K333" s="48" t="s">
        <v>37</v>
      </c>
      <c r="L333" s="48" t="s">
        <v>37</v>
      </c>
      <c r="M333" s="38">
        <v>41455</v>
      </c>
      <c r="N333" s="37"/>
      <c r="O333" s="41">
        <v>16000</v>
      </c>
      <c r="P333" s="41"/>
      <c r="Q333" s="41"/>
    </row>
    <row r="334" spans="1:17" s="15" customFormat="1" ht="26.25" customHeight="1" x14ac:dyDescent="0.2">
      <c r="A334" s="43" t="s">
        <v>126</v>
      </c>
      <c r="B334" s="45" t="s">
        <v>48</v>
      </c>
      <c r="C334" s="45" t="s">
        <v>57</v>
      </c>
      <c r="D334" s="54" t="s">
        <v>131</v>
      </c>
      <c r="E334" s="46" t="s">
        <v>128</v>
      </c>
      <c r="F334" s="41">
        <v>45000</v>
      </c>
      <c r="G334" s="41">
        <v>24000</v>
      </c>
      <c r="H334" s="42">
        <f>24000+45000</f>
        <v>69000</v>
      </c>
      <c r="I334" s="35">
        <f t="shared" si="10"/>
        <v>93000</v>
      </c>
      <c r="J334" s="36">
        <f t="shared" si="11"/>
        <v>2.875</v>
      </c>
      <c r="K334" s="48" t="s">
        <v>37</v>
      </c>
      <c r="L334" s="48" t="s">
        <v>37</v>
      </c>
      <c r="M334" s="38">
        <v>41455</v>
      </c>
      <c r="N334" s="48" t="s">
        <v>36</v>
      </c>
      <c r="O334" s="41">
        <v>45000</v>
      </c>
      <c r="P334" s="41"/>
      <c r="Q334" s="41"/>
    </row>
    <row r="335" spans="1:17" s="15" customFormat="1" ht="26.25" customHeight="1" x14ac:dyDescent="0.2">
      <c r="A335" s="43" t="s">
        <v>323</v>
      </c>
      <c r="B335" s="46" t="s">
        <v>26</v>
      </c>
      <c r="C335" s="44" t="s">
        <v>346</v>
      </c>
      <c r="D335" s="47" t="s">
        <v>364</v>
      </c>
      <c r="E335" s="46" t="s">
        <v>34</v>
      </c>
      <c r="F335" s="35">
        <v>20000</v>
      </c>
      <c r="G335" s="40">
        <v>20000</v>
      </c>
      <c r="H335" s="35">
        <v>0</v>
      </c>
      <c r="I335" s="35">
        <f t="shared" si="10"/>
        <v>20000</v>
      </c>
      <c r="J335" s="36">
        <f t="shared" si="11"/>
        <v>0</v>
      </c>
      <c r="K335" s="48" t="s">
        <v>37</v>
      </c>
      <c r="L335" s="48" t="s">
        <v>37</v>
      </c>
      <c r="M335" s="38">
        <v>41455</v>
      </c>
      <c r="N335" s="48"/>
      <c r="O335" s="41">
        <v>20000</v>
      </c>
      <c r="P335" s="41"/>
      <c r="Q335" s="41"/>
    </row>
    <row r="336" spans="1:17" s="15" customFormat="1" ht="26.25" customHeight="1" x14ac:dyDescent="0.2">
      <c r="A336" s="43" t="s">
        <v>691</v>
      </c>
      <c r="B336" s="46" t="s">
        <v>76</v>
      </c>
      <c r="C336" s="44" t="s">
        <v>708</v>
      </c>
      <c r="D336" s="34">
        <v>4711</v>
      </c>
      <c r="E336" s="46" t="s">
        <v>700</v>
      </c>
      <c r="F336" s="35">
        <f>5500*3</f>
        <v>16500</v>
      </c>
      <c r="G336" s="40">
        <f>5500*3</f>
        <v>16500</v>
      </c>
      <c r="H336" s="35">
        <v>0</v>
      </c>
      <c r="I336" s="35">
        <f t="shared" si="10"/>
        <v>16500</v>
      </c>
      <c r="J336" s="36">
        <f t="shared" si="11"/>
        <v>0</v>
      </c>
      <c r="K336" s="48" t="s">
        <v>37</v>
      </c>
      <c r="L336" s="48" t="s">
        <v>37</v>
      </c>
      <c r="M336" s="38">
        <v>41455</v>
      </c>
      <c r="N336" s="48" t="s">
        <v>64</v>
      </c>
      <c r="O336" s="35">
        <v>5500</v>
      </c>
      <c r="P336" s="35">
        <v>5500</v>
      </c>
      <c r="Q336" s="35">
        <v>5500</v>
      </c>
    </row>
    <row r="337" spans="1:17" s="15" customFormat="1" ht="38.25" customHeight="1" x14ac:dyDescent="0.2">
      <c r="A337" s="43" t="s">
        <v>598</v>
      </c>
      <c r="B337" s="46" t="s">
        <v>17</v>
      </c>
      <c r="C337" s="44" t="s">
        <v>98</v>
      </c>
      <c r="D337" s="34">
        <v>4229</v>
      </c>
      <c r="E337" s="46" t="s">
        <v>661</v>
      </c>
      <c r="F337" s="35">
        <v>15000</v>
      </c>
      <c r="G337" s="40">
        <v>20000</v>
      </c>
      <c r="H337" s="35">
        <v>15000</v>
      </c>
      <c r="I337" s="35">
        <f t="shared" si="10"/>
        <v>35000</v>
      </c>
      <c r="J337" s="36">
        <f t="shared" si="11"/>
        <v>0.75</v>
      </c>
      <c r="K337" s="48" t="s">
        <v>37</v>
      </c>
      <c r="L337" s="48" t="s">
        <v>37</v>
      </c>
      <c r="M337" s="38">
        <v>41243</v>
      </c>
      <c r="N337" s="48" t="s">
        <v>36</v>
      </c>
      <c r="O337" s="35">
        <v>15000</v>
      </c>
      <c r="P337" s="35"/>
      <c r="Q337" s="35"/>
    </row>
    <row r="338" spans="1:17" s="15" customFormat="1" ht="26.25" customHeight="1" x14ac:dyDescent="0.2">
      <c r="A338" s="43" t="s">
        <v>819</v>
      </c>
      <c r="B338" s="46" t="s">
        <v>825</v>
      </c>
      <c r="C338" s="44" t="s">
        <v>98</v>
      </c>
      <c r="D338" s="34">
        <v>4897</v>
      </c>
      <c r="E338" s="46" t="s">
        <v>865</v>
      </c>
      <c r="F338" s="35">
        <f>48000*3</f>
        <v>144000</v>
      </c>
      <c r="G338" s="40">
        <f>48000*3</f>
        <v>144000</v>
      </c>
      <c r="H338" s="35">
        <v>0</v>
      </c>
      <c r="I338" s="35">
        <f t="shared" si="10"/>
        <v>144000</v>
      </c>
      <c r="J338" s="36">
        <f t="shared" si="11"/>
        <v>0</v>
      </c>
      <c r="K338" s="48" t="s">
        <v>37</v>
      </c>
      <c r="L338" s="48" t="s">
        <v>37</v>
      </c>
      <c r="M338" s="38">
        <v>41578</v>
      </c>
      <c r="N338" s="48" t="s">
        <v>64</v>
      </c>
      <c r="O338" s="35">
        <v>48000</v>
      </c>
      <c r="P338" s="35">
        <v>48000</v>
      </c>
      <c r="Q338" s="35">
        <v>48000</v>
      </c>
    </row>
    <row r="339" spans="1:17" s="15" customFormat="1" ht="26.25" customHeight="1" x14ac:dyDescent="0.2">
      <c r="A339" s="43" t="s">
        <v>1188</v>
      </c>
      <c r="B339" s="46" t="s">
        <v>76</v>
      </c>
      <c r="C339" s="44" t="s">
        <v>98</v>
      </c>
      <c r="D339" s="34">
        <v>5714</v>
      </c>
      <c r="E339" s="46" t="s">
        <v>1203</v>
      </c>
      <c r="F339" s="35">
        <v>49500</v>
      </c>
      <c r="G339" s="40">
        <v>49500</v>
      </c>
      <c r="H339" s="35">
        <v>0</v>
      </c>
      <c r="I339" s="35">
        <f t="shared" si="10"/>
        <v>49500</v>
      </c>
      <c r="J339" s="36">
        <f t="shared" si="11"/>
        <v>0</v>
      </c>
      <c r="K339" s="48" t="s">
        <v>37</v>
      </c>
      <c r="L339" s="48" t="s">
        <v>37</v>
      </c>
      <c r="M339" s="38">
        <v>41698</v>
      </c>
      <c r="N339" s="48"/>
      <c r="O339" s="35">
        <v>49500</v>
      </c>
      <c r="P339" s="35"/>
      <c r="Q339" s="35"/>
    </row>
    <row r="340" spans="1:17" s="15" customFormat="1" ht="26.25" customHeight="1" x14ac:dyDescent="0.2">
      <c r="A340" s="43" t="s">
        <v>718</v>
      </c>
      <c r="B340" s="46" t="s">
        <v>49</v>
      </c>
      <c r="C340" s="44" t="s">
        <v>731</v>
      </c>
      <c r="D340" s="34">
        <v>4823</v>
      </c>
      <c r="E340" s="46" t="s">
        <v>724</v>
      </c>
      <c r="F340" s="35">
        <v>95000</v>
      </c>
      <c r="G340" s="40">
        <v>95000</v>
      </c>
      <c r="H340" s="35">
        <v>0</v>
      </c>
      <c r="I340" s="35">
        <f t="shared" si="10"/>
        <v>95000</v>
      </c>
      <c r="J340" s="36">
        <f t="shared" si="11"/>
        <v>0</v>
      </c>
      <c r="K340" s="48" t="s">
        <v>37</v>
      </c>
      <c r="L340" s="48" t="s">
        <v>42</v>
      </c>
      <c r="M340" s="38">
        <v>41455</v>
      </c>
      <c r="N340" s="37"/>
      <c r="O340" s="35">
        <v>95000</v>
      </c>
      <c r="P340" s="35"/>
      <c r="Q340" s="35"/>
    </row>
    <row r="341" spans="1:17" s="15" customFormat="1" ht="26.25" customHeight="1" x14ac:dyDescent="0.2">
      <c r="A341" s="43" t="s">
        <v>588</v>
      </c>
      <c r="B341" s="46" t="s">
        <v>49</v>
      </c>
      <c r="C341" s="44" t="s">
        <v>597</v>
      </c>
      <c r="D341" s="34">
        <v>4462</v>
      </c>
      <c r="E341" s="46" t="s">
        <v>592</v>
      </c>
      <c r="F341" s="35">
        <v>30000</v>
      </c>
      <c r="G341" s="40">
        <v>30000</v>
      </c>
      <c r="H341" s="35">
        <v>0</v>
      </c>
      <c r="I341" s="35">
        <f t="shared" si="10"/>
        <v>30000</v>
      </c>
      <c r="J341" s="36">
        <f t="shared" si="11"/>
        <v>0</v>
      </c>
      <c r="K341" s="48" t="s">
        <v>37</v>
      </c>
      <c r="L341" s="48" t="s">
        <v>37</v>
      </c>
      <c r="M341" s="38">
        <v>42185</v>
      </c>
      <c r="N341" s="37"/>
      <c r="O341" s="35">
        <v>30000</v>
      </c>
      <c r="P341" s="35"/>
      <c r="Q341" s="35"/>
    </row>
    <row r="342" spans="1:17" s="15" customFormat="1" ht="38.25" customHeight="1" x14ac:dyDescent="0.2">
      <c r="A342" s="43" t="s">
        <v>939</v>
      </c>
      <c r="B342" s="46" t="s">
        <v>80</v>
      </c>
      <c r="C342" s="44" t="s">
        <v>946</v>
      </c>
      <c r="D342" s="34">
        <v>4571</v>
      </c>
      <c r="E342" s="46" t="s">
        <v>952</v>
      </c>
      <c r="F342" s="35">
        <v>60000</v>
      </c>
      <c r="G342" s="40">
        <v>60000</v>
      </c>
      <c r="H342" s="35">
        <v>0</v>
      </c>
      <c r="I342" s="35">
        <f t="shared" si="10"/>
        <v>60000</v>
      </c>
      <c r="J342" s="36">
        <f t="shared" si="11"/>
        <v>0</v>
      </c>
      <c r="K342" s="48" t="s">
        <v>37</v>
      </c>
      <c r="L342" s="48" t="s">
        <v>37</v>
      </c>
      <c r="M342" s="38">
        <v>41364</v>
      </c>
      <c r="N342" s="37"/>
      <c r="O342" s="35">
        <v>60000</v>
      </c>
      <c r="P342" s="35"/>
      <c r="Q342" s="35"/>
    </row>
    <row r="343" spans="1:17" s="15" customFormat="1" ht="26.25" customHeight="1" x14ac:dyDescent="0.2">
      <c r="A343" s="43" t="s">
        <v>1104</v>
      </c>
      <c r="B343" s="46" t="s">
        <v>76</v>
      </c>
      <c r="C343" s="44" t="s">
        <v>1112</v>
      </c>
      <c r="D343" s="34">
        <v>5470</v>
      </c>
      <c r="E343" s="46" t="s">
        <v>1119</v>
      </c>
      <c r="F343" s="35">
        <f>22500*3</f>
        <v>67500</v>
      </c>
      <c r="G343" s="40">
        <f>22500*3</f>
        <v>67500</v>
      </c>
      <c r="H343" s="35">
        <v>0</v>
      </c>
      <c r="I343" s="35">
        <f t="shared" si="10"/>
        <v>67500</v>
      </c>
      <c r="J343" s="36">
        <f t="shared" si="11"/>
        <v>0</v>
      </c>
      <c r="K343" s="48" t="s">
        <v>37</v>
      </c>
      <c r="L343" s="48" t="s">
        <v>42</v>
      </c>
      <c r="M343" s="38">
        <v>41759</v>
      </c>
      <c r="N343" s="48" t="s">
        <v>64</v>
      </c>
      <c r="O343" s="35">
        <v>22500</v>
      </c>
      <c r="P343" s="35">
        <v>22500</v>
      </c>
      <c r="Q343" s="35">
        <v>22500</v>
      </c>
    </row>
    <row r="344" spans="1:17" s="15" customFormat="1" ht="26.25" customHeight="1" x14ac:dyDescent="0.2">
      <c r="A344" s="43" t="s">
        <v>322</v>
      </c>
      <c r="B344" s="46" t="s">
        <v>26</v>
      </c>
      <c r="C344" s="44" t="s">
        <v>345</v>
      </c>
      <c r="D344" s="47" t="s">
        <v>363</v>
      </c>
      <c r="E344" s="46" t="s">
        <v>35</v>
      </c>
      <c r="F344" s="35">
        <v>15000</v>
      </c>
      <c r="G344" s="40">
        <v>15000</v>
      </c>
      <c r="H344" s="35">
        <v>0</v>
      </c>
      <c r="I344" s="35">
        <f t="shared" si="10"/>
        <v>15000</v>
      </c>
      <c r="J344" s="36">
        <f t="shared" si="11"/>
        <v>0</v>
      </c>
      <c r="K344" s="48" t="s">
        <v>37</v>
      </c>
      <c r="L344" s="48" t="s">
        <v>37</v>
      </c>
      <c r="M344" s="38">
        <v>41455</v>
      </c>
      <c r="N344" s="37"/>
      <c r="O344" s="41">
        <v>15000</v>
      </c>
      <c r="P344" s="41"/>
      <c r="Q344" s="41"/>
    </row>
    <row r="345" spans="1:17" s="15" customFormat="1" ht="18" customHeight="1" x14ac:dyDescent="0.2">
      <c r="A345" s="43" t="s">
        <v>485</v>
      </c>
      <c r="B345" s="46" t="s">
        <v>46</v>
      </c>
      <c r="C345" s="44" t="s">
        <v>497</v>
      </c>
      <c r="D345" s="47">
        <v>4410</v>
      </c>
      <c r="E345" s="46" t="s">
        <v>511</v>
      </c>
      <c r="F345" s="35">
        <f>10000*3</f>
        <v>30000</v>
      </c>
      <c r="G345" s="40">
        <f>10000*3</f>
        <v>30000</v>
      </c>
      <c r="H345" s="35">
        <v>0</v>
      </c>
      <c r="I345" s="35">
        <f t="shared" si="10"/>
        <v>30000</v>
      </c>
      <c r="J345" s="36">
        <f t="shared" si="11"/>
        <v>0</v>
      </c>
      <c r="K345" s="48" t="s">
        <v>37</v>
      </c>
      <c r="L345" s="48" t="s">
        <v>37</v>
      </c>
      <c r="M345" s="38">
        <v>41455</v>
      </c>
      <c r="N345" s="48" t="s">
        <v>64</v>
      </c>
      <c r="O345" s="41">
        <v>10000</v>
      </c>
      <c r="P345" s="41">
        <v>10000</v>
      </c>
      <c r="Q345" s="41">
        <v>10000</v>
      </c>
    </row>
    <row r="346" spans="1:17" s="15" customFormat="1" ht="38.25" customHeight="1" x14ac:dyDescent="0.2">
      <c r="A346" s="43" t="s">
        <v>1348</v>
      </c>
      <c r="B346" s="46" t="s">
        <v>1349</v>
      </c>
      <c r="C346" s="44" t="s">
        <v>1353</v>
      </c>
      <c r="D346" s="47">
        <v>6176</v>
      </c>
      <c r="E346" s="46" t="s">
        <v>1358</v>
      </c>
      <c r="F346" s="35">
        <v>10000</v>
      </c>
      <c r="G346" s="40">
        <v>10000</v>
      </c>
      <c r="H346" s="35">
        <v>0</v>
      </c>
      <c r="I346" s="35">
        <f t="shared" si="10"/>
        <v>10000</v>
      </c>
      <c r="J346" s="36">
        <f t="shared" si="11"/>
        <v>0</v>
      </c>
      <c r="K346" s="48" t="s">
        <v>37</v>
      </c>
      <c r="L346" s="48" t="s">
        <v>37</v>
      </c>
      <c r="M346" s="38">
        <v>41425</v>
      </c>
      <c r="N346" s="48"/>
      <c r="O346" s="35">
        <v>10000</v>
      </c>
      <c r="P346" s="35"/>
      <c r="Q346" s="35"/>
    </row>
    <row r="347" spans="1:17" s="15" customFormat="1" ht="26.25" customHeight="1" x14ac:dyDescent="0.2">
      <c r="A347" s="43" t="s">
        <v>398</v>
      </c>
      <c r="B347" s="46" t="s">
        <v>92</v>
      </c>
      <c r="C347" s="44" t="s">
        <v>413</v>
      </c>
      <c r="D347" s="34">
        <v>3965</v>
      </c>
      <c r="E347" s="46" t="s">
        <v>429</v>
      </c>
      <c r="F347" s="35">
        <f>6000*3</f>
        <v>18000</v>
      </c>
      <c r="G347" s="40">
        <f>6000*3</f>
        <v>18000</v>
      </c>
      <c r="H347" s="35">
        <v>0</v>
      </c>
      <c r="I347" s="35">
        <f t="shared" si="10"/>
        <v>18000</v>
      </c>
      <c r="J347" s="36">
        <f t="shared" si="11"/>
        <v>0</v>
      </c>
      <c r="K347" s="48" t="s">
        <v>37</v>
      </c>
      <c r="L347" s="48" t="s">
        <v>37</v>
      </c>
      <c r="M347" s="38">
        <v>41455</v>
      </c>
      <c r="N347" s="48" t="s">
        <v>64</v>
      </c>
      <c r="O347" s="41">
        <v>6000</v>
      </c>
      <c r="P347" s="41">
        <v>6000</v>
      </c>
      <c r="Q347" s="41">
        <v>6000</v>
      </c>
    </row>
    <row r="348" spans="1:17" s="15" customFormat="1" ht="18" customHeight="1" x14ac:dyDescent="0.2">
      <c r="A348" s="43" t="s">
        <v>1211</v>
      </c>
      <c r="B348" s="46" t="s">
        <v>40</v>
      </c>
      <c r="C348" s="44" t="s">
        <v>1214</v>
      </c>
      <c r="D348" s="34">
        <v>3554</v>
      </c>
      <c r="E348" s="46" t="s">
        <v>1219</v>
      </c>
      <c r="F348" s="35">
        <f>36000*3</f>
        <v>108000</v>
      </c>
      <c r="G348" s="40">
        <f>36000*3</f>
        <v>108000</v>
      </c>
      <c r="H348" s="35">
        <v>0</v>
      </c>
      <c r="I348" s="35">
        <f t="shared" si="10"/>
        <v>108000</v>
      </c>
      <c r="J348" s="36">
        <f t="shared" si="11"/>
        <v>0</v>
      </c>
      <c r="K348" s="48" t="s">
        <v>37</v>
      </c>
      <c r="L348" s="48" t="s">
        <v>42</v>
      </c>
      <c r="M348" s="38">
        <v>41820</v>
      </c>
      <c r="N348" s="48" t="s">
        <v>64</v>
      </c>
      <c r="O348" s="35">
        <v>36000</v>
      </c>
      <c r="P348" s="35">
        <v>36000</v>
      </c>
      <c r="Q348" s="35">
        <v>36000</v>
      </c>
    </row>
    <row r="349" spans="1:17" s="15" customFormat="1" ht="38.25" customHeight="1" x14ac:dyDescent="0.2">
      <c r="A349" s="43" t="s">
        <v>488</v>
      </c>
      <c r="B349" s="46" t="s">
        <v>46</v>
      </c>
      <c r="C349" s="44" t="s">
        <v>499</v>
      </c>
      <c r="D349" s="47">
        <v>4405</v>
      </c>
      <c r="E349" s="46" t="s">
        <v>514</v>
      </c>
      <c r="F349" s="35">
        <f>25000*3</f>
        <v>75000</v>
      </c>
      <c r="G349" s="40">
        <f>25000*3</f>
        <v>75000</v>
      </c>
      <c r="H349" s="35">
        <v>0</v>
      </c>
      <c r="I349" s="35">
        <f t="shared" si="10"/>
        <v>75000</v>
      </c>
      <c r="J349" s="36">
        <f t="shared" si="11"/>
        <v>0</v>
      </c>
      <c r="K349" s="48" t="s">
        <v>37</v>
      </c>
      <c r="L349" s="48" t="s">
        <v>37</v>
      </c>
      <c r="M349" s="38">
        <v>41455</v>
      </c>
      <c r="N349" s="48" t="s">
        <v>64</v>
      </c>
      <c r="O349" s="41">
        <v>25000</v>
      </c>
      <c r="P349" s="41">
        <v>25000</v>
      </c>
      <c r="Q349" s="41">
        <v>25000</v>
      </c>
    </row>
    <row r="350" spans="1:17" s="15" customFormat="1" ht="26.25" customHeight="1" x14ac:dyDescent="0.2">
      <c r="A350" s="43" t="s">
        <v>228</v>
      </c>
      <c r="B350" s="46" t="s">
        <v>46</v>
      </c>
      <c r="C350" s="44" t="s">
        <v>52</v>
      </c>
      <c r="D350" s="34">
        <v>4212</v>
      </c>
      <c r="E350" s="46" t="s">
        <v>246</v>
      </c>
      <c r="F350" s="35">
        <v>18487</v>
      </c>
      <c r="G350" s="40">
        <v>18487</v>
      </c>
      <c r="H350" s="35">
        <v>0</v>
      </c>
      <c r="I350" s="35">
        <f t="shared" si="10"/>
        <v>18487</v>
      </c>
      <c r="J350" s="36">
        <f t="shared" si="11"/>
        <v>0</v>
      </c>
      <c r="K350" s="48" t="s">
        <v>37</v>
      </c>
      <c r="L350" s="48" t="s">
        <v>37</v>
      </c>
      <c r="M350" s="38">
        <v>41182</v>
      </c>
      <c r="N350" s="37"/>
      <c r="O350" s="41">
        <v>18487</v>
      </c>
      <c r="P350" s="41"/>
      <c r="Q350" s="41"/>
    </row>
    <row r="351" spans="1:17" s="15" customFormat="1" ht="26.25" customHeight="1" x14ac:dyDescent="0.2">
      <c r="A351" s="43" t="s">
        <v>402</v>
      </c>
      <c r="B351" s="46" t="s">
        <v>46</v>
      </c>
      <c r="C351" s="44" t="s">
        <v>52</v>
      </c>
      <c r="D351" s="34">
        <v>4210</v>
      </c>
      <c r="E351" s="46" t="s">
        <v>433</v>
      </c>
      <c r="F351" s="35">
        <v>18487</v>
      </c>
      <c r="G351" s="40">
        <v>18487</v>
      </c>
      <c r="H351" s="35">
        <v>0</v>
      </c>
      <c r="I351" s="35">
        <f t="shared" si="10"/>
        <v>18487</v>
      </c>
      <c r="J351" s="36">
        <f t="shared" si="11"/>
        <v>0</v>
      </c>
      <c r="K351" s="48" t="s">
        <v>37</v>
      </c>
      <c r="L351" s="48" t="s">
        <v>42</v>
      </c>
      <c r="M351" s="38">
        <v>41182</v>
      </c>
      <c r="N351" s="37"/>
      <c r="O351" s="41">
        <v>18487</v>
      </c>
      <c r="P351" s="41"/>
      <c r="Q351" s="41"/>
    </row>
    <row r="352" spans="1:17" s="15" customFormat="1" ht="26.25" customHeight="1" x14ac:dyDescent="0.2">
      <c r="A352" s="43" t="s">
        <v>537</v>
      </c>
      <c r="B352" s="46" t="s">
        <v>46</v>
      </c>
      <c r="C352" s="44" t="s">
        <v>52</v>
      </c>
      <c r="D352" s="47">
        <v>4471</v>
      </c>
      <c r="E352" s="46" t="s">
        <v>568</v>
      </c>
      <c r="F352" s="35">
        <v>18487</v>
      </c>
      <c r="G352" s="40">
        <v>18487</v>
      </c>
      <c r="H352" s="35">
        <v>0</v>
      </c>
      <c r="I352" s="35">
        <f t="shared" si="10"/>
        <v>18487</v>
      </c>
      <c r="J352" s="36">
        <f t="shared" si="11"/>
        <v>0</v>
      </c>
      <c r="K352" s="48" t="s">
        <v>37</v>
      </c>
      <c r="L352" s="48" t="s">
        <v>42</v>
      </c>
      <c r="M352" s="38">
        <v>406668</v>
      </c>
      <c r="N352" s="48"/>
      <c r="O352" s="41">
        <v>18487</v>
      </c>
      <c r="P352" s="41"/>
      <c r="Q352" s="41"/>
    </row>
    <row r="353" spans="1:17" s="15" customFormat="1" ht="26.25" customHeight="1" x14ac:dyDescent="0.2">
      <c r="A353" s="43" t="s">
        <v>899</v>
      </c>
      <c r="B353" s="46" t="s">
        <v>46</v>
      </c>
      <c r="C353" s="44" t="s">
        <v>52</v>
      </c>
      <c r="D353" s="34">
        <v>5081</v>
      </c>
      <c r="E353" s="46" t="s">
        <v>915</v>
      </c>
      <c r="F353" s="35">
        <v>35439</v>
      </c>
      <c r="G353" s="40">
        <v>35439</v>
      </c>
      <c r="H353" s="35">
        <v>0</v>
      </c>
      <c r="I353" s="35">
        <f t="shared" si="10"/>
        <v>35439</v>
      </c>
      <c r="J353" s="36">
        <f t="shared" si="11"/>
        <v>0</v>
      </c>
      <c r="K353" s="48" t="s">
        <v>37</v>
      </c>
      <c r="L353" s="48" t="s">
        <v>42</v>
      </c>
      <c r="M353" s="38">
        <v>41455</v>
      </c>
      <c r="N353" s="37"/>
      <c r="O353" s="35">
        <v>35439</v>
      </c>
      <c r="P353" s="35"/>
      <c r="Q353" s="35"/>
    </row>
    <row r="354" spans="1:17" s="15" customFormat="1" ht="26.25" customHeight="1" x14ac:dyDescent="0.2">
      <c r="A354" s="43" t="s">
        <v>392</v>
      </c>
      <c r="B354" s="46" t="s">
        <v>92</v>
      </c>
      <c r="C354" s="44" t="s">
        <v>407</v>
      </c>
      <c r="D354" s="34">
        <v>3936</v>
      </c>
      <c r="E354" s="46" t="s">
        <v>423</v>
      </c>
      <c r="F354" s="35">
        <f>20000*3</f>
        <v>60000</v>
      </c>
      <c r="G354" s="40">
        <f>20000*3</f>
        <v>60000</v>
      </c>
      <c r="H354" s="35">
        <v>0</v>
      </c>
      <c r="I354" s="35">
        <f t="shared" si="10"/>
        <v>60000</v>
      </c>
      <c r="J354" s="36">
        <f t="shared" si="11"/>
        <v>0</v>
      </c>
      <c r="K354" s="48" t="s">
        <v>37</v>
      </c>
      <c r="L354" s="48" t="s">
        <v>37</v>
      </c>
      <c r="M354" s="38">
        <v>41455</v>
      </c>
      <c r="N354" s="48" t="s">
        <v>64</v>
      </c>
      <c r="O354" s="41">
        <v>20000</v>
      </c>
      <c r="P354" s="41">
        <v>20000</v>
      </c>
      <c r="Q354" s="41">
        <v>20000</v>
      </c>
    </row>
    <row r="355" spans="1:17" s="15" customFormat="1" ht="26.25" customHeight="1" x14ac:dyDescent="0.2">
      <c r="A355" s="43" t="s">
        <v>1392</v>
      </c>
      <c r="B355" s="46" t="s">
        <v>48</v>
      </c>
      <c r="C355" s="44" t="s">
        <v>1398</v>
      </c>
      <c r="D355" s="34">
        <v>6283</v>
      </c>
      <c r="E355" s="46" t="s">
        <v>1408</v>
      </c>
      <c r="F355" s="35">
        <v>16200</v>
      </c>
      <c r="G355" s="40">
        <v>16200</v>
      </c>
      <c r="H355" s="35">
        <v>0</v>
      </c>
      <c r="I355" s="35">
        <f t="shared" si="10"/>
        <v>16200</v>
      </c>
      <c r="J355" s="36">
        <f t="shared" si="11"/>
        <v>0</v>
      </c>
      <c r="K355" s="48" t="s">
        <v>37</v>
      </c>
      <c r="L355" s="48" t="s">
        <v>37</v>
      </c>
      <c r="M355" s="38">
        <v>41639</v>
      </c>
      <c r="N355" s="48"/>
      <c r="O355" s="35">
        <v>16200</v>
      </c>
      <c r="P355" s="35"/>
      <c r="Q355" s="35"/>
    </row>
    <row r="356" spans="1:17" s="15" customFormat="1" ht="26.25" customHeight="1" x14ac:dyDescent="0.2">
      <c r="A356" s="43" t="s">
        <v>1147</v>
      </c>
      <c r="B356" s="46" t="s">
        <v>76</v>
      </c>
      <c r="C356" s="44" t="s">
        <v>1152</v>
      </c>
      <c r="D356" s="34">
        <v>5587</v>
      </c>
      <c r="E356" s="46" t="s">
        <v>1155</v>
      </c>
      <c r="F356" s="35">
        <v>95800</v>
      </c>
      <c r="G356" s="40">
        <v>95800</v>
      </c>
      <c r="H356" s="35">
        <v>0</v>
      </c>
      <c r="I356" s="35">
        <f t="shared" si="10"/>
        <v>95800</v>
      </c>
      <c r="J356" s="36">
        <f t="shared" si="11"/>
        <v>0</v>
      </c>
      <c r="K356" s="48" t="s">
        <v>37</v>
      </c>
      <c r="L356" s="48" t="s">
        <v>37</v>
      </c>
      <c r="M356" s="38">
        <v>41698</v>
      </c>
      <c r="N356" s="48"/>
      <c r="O356" s="35">
        <v>95800</v>
      </c>
      <c r="P356" s="35"/>
      <c r="Q356" s="35"/>
    </row>
    <row r="357" spans="1:17" s="15" customFormat="1" ht="26.25" customHeight="1" x14ac:dyDescent="0.2">
      <c r="A357" s="43" t="s">
        <v>1338</v>
      </c>
      <c r="B357" s="46" t="s">
        <v>46</v>
      </c>
      <c r="C357" s="44" t="s">
        <v>1341</v>
      </c>
      <c r="D357" s="47" t="s">
        <v>1342</v>
      </c>
      <c r="E357" s="46" t="s">
        <v>512</v>
      </c>
      <c r="F357" s="35">
        <f>20000*3</f>
        <v>60000</v>
      </c>
      <c r="G357" s="40">
        <v>49000</v>
      </c>
      <c r="H357" s="35">
        <f>20000*3</f>
        <v>60000</v>
      </c>
      <c r="I357" s="35">
        <f t="shared" si="10"/>
        <v>109000</v>
      </c>
      <c r="J357" s="36">
        <f t="shared" si="11"/>
        <v>1.2244897959183674</v>
      </c>
      <c r="K357" s="48" t="s">
        <v>37</v>
      </c>
      <c r="L357" s="48" t="s">
        <v>37</v>
      </c>
      <c r="M357" s="38">
        <v>41455</v>
      </c>
      <c r="N357" s="48" t="s">
        <v>64</v>
      </c>
      <c r="O357" s="35">
        <v>20000</v>
      </c>
      <c r="P357" s="35">
        <v>20000</v>
      </c>
      <c r="Q357" s="35">
        <v>20000</v>
      </c>
    </row>
    <row r="358" spans="1:17" s="15" customFormat="1" ht="38.25" customHeight="1" x14ac:dyDescent="0.2">
      <c r="A358" s="43" t="s">
        <v>1253</v>
      </c>
      <c r="B358" s="46" t="s">
        <v>39</v>
      </c>
      <c r="C358" s="44" t="s">
        <v>1233</v>
      </c>
      <c r="D358" s="47">
        <v>5824</v>
      </c>
      <c r="E358" s="46" t="s">
        <v>1245</v>
      </c>
      <c r="F358" s="35">
        <v>12189</v>
      </c>
      <c r="G358" s="40">
        <v>12189</v>
      </c>
      <c r="H358" s="35">
        <v>0</v>
      </c>
      <c r="I358" s="35">
        <f t="shared" si="10"/>
        <v>12189</v>
      </c>
      <c r="J358" s="36">
        <f t="shared" si="11"/>
        <v>0</v>
      </c>
      <c r="K358" s="48" t="s">
        <v>37</v>
      </c>
      <c r="L358" s="48" t="s">
        <v>37</v>
      </c>
      <c r="M358" s="38">
        <v>41455</v>
      </c>
      <c r="N358" s="48"/>
      <c r="O358" s="35">
        <v>12189</v>
      </c>
      <c r="P358" s="35"/>
      <c r="Q358" s="35"/>
    </row>
    <row r="359" spans="1:17" s="15" customFormat="1" ht="18" customHeight="1" x14ac:dyDescent="0.2">
      <c r="A359" s="43" t="s">
        <v>1374</v>
      </c>
      <c r="B359" s="46" t="s">
        <v>39</v>
      </c>
      <c r="C359" s="44" t="s">
        <v>1377</v>
      </c>
      <c r="D359" s="34">
        <v>6207</v>
      </c>
      <c r="E359" s="46" t="s">
        <v>1383</v>
      </c>
      <c r="F359" s="35">
        <v>30000</v>
      </c>
      <c r="G359" s="40">
        <v>30000</v>
      </c>
      <c r="H359" s="35">
        <v>0</v>
      </c>
      <c r="I359" s="35">
        <f t="shared" si="10"/>
        <v>30000</v>
      </c>
      <c r="J359" s="36">
        <f t="shared" si="11"/>
        <v>0</v>
      </c>
      <c r="K359" s="48" t="s">
        <v>37</v>
      </c>
      <c r="L359" s="48" t="s">
        <v>37</v>
      </c>
      <c r="M359" s="38">
        <v>41783</v>
      </c>
      <c r="N359" s="48"/>
      <c r="O359" s="49">
        <v>30000</v>
      </c>
      <c r="P359" s="35"/>
      <c r="Q359" s="35"/>
    </row>
    <row r="360" spans="1:17" s="15" customFormat="1" ht="26.25" customHeight="1" x14ac:dyDescent="0.2">
      <c r="A360" s="43" t="s">
        <v>812</v>
      </c>
      <c r="B360" s="46" t="s">
        <v>825</v>
      </c>
      <c r="C360" s="44" t="s">
        <v>836</v>
      </c>
      <c r="D360" s="34">
        <v>4103</v>
      </c>
      <c r="E360" s="46" t="s">
        <v>858</v>
      </c>
      <c r="F360" s="35">
        <f>15000*3</f>
        <v>45000</v>
      </c>
      <c r="G360" s="40">
        <f>15000*3</f>
        <v>45000</v>
      </c>
      <c r="H360" s="35">
        <v>0</v>
      </c>
      <c r="I360" s="35">
        <f t="shared" si="10"/>
        <v>45000</v>
      </c>
      <c r="J360" s="36">
        <f t="shared" si="11"/>
        <v>0</v>
      </c>
      <c r="K360" s="48" t="s">
        <v>37</v>
      </c>
      <c r="L360" s="48" t="s">
        <v>37</v>
      </c>
      <c r="M360" s="38">
        <v>41455</v>
      </c>
      <c r="N360" s="48" t="s">
        <v>64</v>
      </c>
      <c r="O360" s="35">
        <v>15000</v>
      </c>
      <c r="P360" s="35">
        <v>15000</v>
      </c>
      <c r="Q360" s="35">
        <v>15000</v>
      </c>
    </row>
    <row r="361" spans="1:17" s="15" customFormat="1" ht="26.25" customHeight="1" x14ac:dyDescent="0.2">
      <c r="A361" s="43" t="s">
        <v>532</v>
      </c>
      <c r="B361" s="46" t="s">
        <v>20</v>
      </c>
      <c r="C361" s="44" t="s">
        <v>103</v>
      </c>
      <c r="D361" s="47">
        <v>4461</v>
      </c>
      <c r="E361" s="46" t="s">
        <v>563</v>
      </c>
      <c r="F361" s="35">
        <f>25000*3</f>
        <v>75000</v>
      </c>
      <c r="G361" s="40">
        <f>25000*3</f>
        <v>75000</v>
      </c>
      <c r="H361" s="35">
        <v>0</v>
      </c>
      <c r="I361" s="35">
        <f t="shared" si="10"/>
        <v>75000</v>
      </c>
      <c r="J361" s="36">
        <f t="shared" si="11"/>
        <v>0</v>
      </c>
      <c r="K361" s="48" t="s">
        <v>37</v>
      </c>
      <c r="L361" s="48" t="s">
        <v>37</v>
      </c>
      <c r="M361" s="38">
        <v>41455</v>
      </c>
      <c r="N361" s="48" t="s">
        <v>64</v>
      </c>
      <c r="O361" s="41">
        <v>25000</v>
      </c>
      <c r="P361" s="41">
        <v>25000</v>
      </c>
      <c r="Q361" s="41">
        <v>25000</v>
      </c>
    </row>
    <row r="362" spans="1:17" s="15" customFormat="1" ht="26.25" customHeight="1" x14ac:dyDescent="0.2">
      <c r="A362" s="43" t="s">
        <v>737</v>
      </c>
      <c r="B362" s="46" t="s">
        <v>20</v>
      </c>
      <c r="C362" s="44" t="s">
        <v>103</v>
      </c>
      <c r="D362" s="34">
        <v>4461</v>
      </c>
      <c r="E362" s="46" t="s">
        <v>748</v>
      </c>
      <c r="F362" s="35">
        <v>6500</v>
      </c>
      <c r="G362" s="40">
        <v>6500</v>
      </c>
      <c r="H362" s="35">
        <v>0</v>
      </c>
      <c r="I362" s="35">
        <f t="shared" si="10"/>
        <v>6500</v>
      </c>
      <c r="J362" s="36">
        <f t="shared" si="11"/>
        <v>0</v>
      </c>
      <c r="K362" s="48" t="s">
        <v>37</v>
      </c>
      <c r="L362" s="48" t="s">
        <v>37</v>
      </c>
      <c r="M362" s="38">
        <v>41455</v>
      </c>
      <c r="N362" s="37"/>
      <c r="O362" s="35">
        <v>6500</v>
      </c>
      <c r="P362" s="35"/>
      <c r="Q362" s="35"/>
    </row>
    <row r="363" spans="1:17" s="15" customFormat="1" ht="26.25" customHeight="1" x14ac:dyDescent="0.2">
      <c r="A363" s="43" t="s">
        <v>982</v>
      </c>
      <c r="B363" s="46" t="s">
        <v>20</v>
      </c>
      <c r="C363" s="44" t="s">
        <v>103</v>
      </c>
      <c r="D363" s="34">
        <v>5062</v>
      </c>
      <c r="E363" s="46" t="s">
        <v>563</v>
      </c>
      <c r="F363" s="35">
        <f>22000*3</f>
        <v>66000</v>
      </c>
      <c r="G363" s="40">
        <v>25000</v>
      </c>
      <c r="H363" s="35">
        <f>22000*3</f>
        <v>66000</v>
      </c>
      <c r="I363" s="35">
        <f t="shared" si="10"/>
        <v>91000</v>
      </c>
      <c r="J363" s="36">
        <f t="shared" si="11"/>
        <v>2.64</v>
      </c>
      <c r="K363" s="48" t="s">
        <v>37</v>
      </c>
      <c r="L363" s="48" t="s">
        <v>37</v>
      </c>
      <c r="M363" s="38">
        <v>41455</v>
      </c>
      <c r="N363" s="48" t="s">
        <v>64</v>
      </c>
      <c r="O363" s="35">
        <v>22000</v>
      </c>
      <c r="P363" s="35">
        <v>22000</v>
      </c>
      <c r="Q363" s="35">
        <v>22000</v>
      </c>
    </row>
    <row r="364" spans="1:17" s="15" customFormat="1" ht="38.25" customHeight="1" x14ac:dyDescent="0.2">
      <c r="A364" s="43" t="s">
        <v>491</v>
      </c>
      <c r="B364" s="46" t="s">
        <v>17</v>
      </c>
      <c r="C364" s="44" t="s">
        <v>502</v>
      </c>
      <c r="D364" s="47">
        <v>4330</v>
      </c>
      <c r="E364" s="46" t="s">
        <v>517</v>
      </c>
      <c r="F364" s="35">
        <v>14995</v>
      </c>
      <c r="G364" s="40">
        <v>14994</v>
      </c>
      <c r="H364" s="35">
        <v>0</v>
      </c>
      <c r="I364" s="35">
        <f t="shared" si="10"/>
        <v>14994</v>
      </c>
      <c r="J364" s="36">
        <f t="shared" si="11"/>
        <v>0</v>
      </c>
      <c r="K364" s="48" t="s">
        <v>37</v>
      </c>
      <c r="L364" s="48" t="s">
        <v>42</v>
      </c>
      <c r="M364" s="38">
        <v>41182</v>
      </c>
      <c r="N364" s="48"/>
      <c r="O364" s="41">
        <v>14995</v>
      </c>
      <c r="P364" s="41"/>
      <c r="Q364" s="41"/>
    </row>
    <row r="365" spans="1:17" s="15" customFormat="1" ht="26.25" customHeight="1" x14ac:dyDescent="0.2">
      <c r="A365" s="43" t="s">
        <v>894</v>
      </c>
      <c r="B365" s="46" t="s">
        <v>40</v>
      </c>
      <c r="C365" s="44" t="s">
        <v>1046</v>
      </c>
      <c r="D365" s="34">
        <v>4856</v>
      </c>
      <c r="E365" s="46" t="s">
        <v>910</v>
      </c>
      <c r="F365" s="35">
        <v>44500</v>
      </c>
      <c r="G365" s="40">
        <v>44500</v>
      </c>
      <c r="H365" s="35">
        <v>0</v>
      </c>
      <c r="I365" s="35">
        <f t="shared" si="10"/>
        <v>44500</v>
      </c>
      <c r="J365" s="36">
        <f t="shared" si="11"/>
        <v>0</v>
      </c>
      <c r="K365" s="48" t="s">
        <v>37</v>
      </c>
      <c r="L365" s="48" t="s">
        <v>37</v>
      </c>
      <c r="M365" s="38">
        <v>41305</v>
      </c>
      <c r="N365" s="37"/>
      <c r="O365" s="35">
        <v>44500</v>
      </c>
      <c r="P365" s="35"/>
      <c r="Q365" s="35"/>
    </row>
    <row r="366" spans="1:17" s="15" customFormat="1" ht="26.25" customHeight="1" x14ac:dyDescent="0.2">
      <c r="A366" s="43" t="s">
        <v>960</v>
      </c>
      <c r="B366" s="46" t="s">
        <v>40</v>
      </c>
      <c r="C366" s="44" t="s">
        <v>1046</v>
      </c>
      <c r="D366" s="34">
        <v>4853</v>
      </c>
      <c r="E366" s="46" t="s">
        <v>965</v>
      </c>
      <c r="F366" s="35">
        <v>15000</v>
      </c>
      <c r="G366" s="40">
        <v>15000</v>
      </c>
      <c r="H366" s="35">
        <v>0</v>
      </c>
      <c r="I366" s="35">
        <f t="shared" si="10"/>
        <v>15000</v>
      </c>
      <c r="J366" s="36">
        <f t="shared" si="11"/>
        <v>0</v>
      </c>
      <c r="K366" s="48" t="s">
        <v>37</v>
      </c>
      <c r="L366" s="48" t="s">
        <v>37</v>
      </c>
      <c r="M366" s="38">
        <v>41363</v>
      </c>
      <c r="N366" s="37"/>
      <c r="O366" s="35">
        <v>15000</v>
      </c>
      <c r="P366" s="35"/>
      <c r="Q366" s="35"/>
    </row>
    <row r="367" spans="1:17" s="15" customFormat="1" ht="26.25" customHeight="1" x14ac:dyDescent="0.2">
      <c r="A367" s="43" t="s">
        <v>544</v>
      </c>
      <c r="B367" s="46" t="s">
        <v>17</v>
      </c>
      <c r="C367" s="44" t="s">
        <v>558</v>
      </c>
      <c r="D367" s="47">
        <v>4165</v>
      </c>
      <c r="E367" s="46" t="s">
        <v>574</v>
      </c>
      <c r="F367" s="35">
        <f>25500*3</f>
        <v>76500</v>
      </c>
      <c r="G367" s="40">
        <f>25500*3</f>
        <v>76500</v>
      </c>
      <c r="H367" s="35">
        <v>0</v>
      </c>
      <c r="I367" s="35">
        <f t="shared" si="10"/>
        <v>76500</v>
      </c>
      <c r="J367" s="36">
        <f t="shared" si="11"/>
        <v>0</v>
      </c>
      <c r="K367" s="48" t="s">
        <v>37</v>
      </c>
      <c r="L367" s="48" t="s">
        <v>37</v>
      </c>
      <c r="M367" s="38">
        <v>41455</v>
      </c>
      <c r="N367" s="48" t="s">
        <v>64</v>
      </c>
      <c r="O367" s="41">
        <v>25500</v>
      </c>
      <c r="P367" s="41">
        <v>25500</v>
      </c>
      <c r="Q367" s="41">
        <v>25500</v>
      </c>
    </row>
    <row r="368" spans="1:17" s="15" customFormat="1" ht="26.25" customHeight="1" x14ac:dyDescent="0.2">
      <c r="A368" s="43" t="s">
        <v>1345</v>
      </c>
      <c r="B368" s="46" t="s">
        <v>49</v>
      </c>
      <c r="C368" s="44" t="s">
        <v>1350</v>
      </c>
      <c r="D368" s="47">
        <v>6021</v>
      </c>
      <c r="E368" s="46" t="s">
        <v>1355</v>
      </c>
      <c r="F368" s="35">
        <v>25000</v>
      </c>
      <c r="G368" s="40">
        <v>25000</v>
      </c>
      <c r="H368" s="35">
        <v>0</v>
      </c>
      <c r="I368" s="35">
        <f t="shared" si="10"/>
        <v>25000</v>
      </c>
      <c r="J368" s="36">
        <f t="shared" si="11"/>
        <v>0</v>
      </c>
      <c r="K368" s="48" t="s">
        <v>37</v>
      </c>
      <c r="L368" s="48" t="s">
        <v>37</v>
      </c>
      <c r="M368" s="38">
        <v>41547</v>
      </c>
      <c r="N368" s="48"/>
      <c r="O368" s="35">
        <v>25000</v>
      </c>
      <c r="P368" s="35"/>
      <c r="Q368" s="35"/>
    </row>
    <row r="369" spans="1:17" s="15" customFormat="1" ht="26.25" customHeight="1" x14ac:dyDescent="0.2">
      <c r="A369" s="43" t="s">
        <v>265</v>
      </c>
      <c r="B369" s="46" t="s">
        <v>46</v>
      </c>
      <c r="C369" s="44" t="s">
        <v>292</v>
      </c>
      <c r="D369" s="34">
        <v>4273</v>
      </c>
      <c r="E369" s="46" t="s">
        <v>279</v>
      </c>
      <c r="F369" s="35">
        <f>90960*3</f>
        <v>272880</v>
      </c>
      <c r="G369" s="40">
        <f>90960*3</f>
        <v>272880</v>
      </c>
      <c r="H369" s="35">
        <v>0</v>
      </c>
      <c r="I369" s="35">
        <f t="shared" si="10"/>
        <v>272880</v>
      </c>
      <c r="J369" s="36">
        <f t="shared" si="11"/>
        <v>0</v>
      </c>
      <c r="K369" s="48" t="s">
        <v>37</v>
      </c>
      <c r="L369" s="48" t="s">
        <v>42</v>
      </c>
      <c r="M369" s="38">
        <v>41455</v>
      </c>
      <c r="N369" s="48" t="s">
        <v>64</v>
      </c>
      <c r="O369" s="41">
        <v>90960</v>
      </c>
      <c r="P369" s="41">
        <v>90960</v>
      </c>
      <c r="Q369" s="41">
        <v>90960</v>
      </c>
    </row>
    <row r="370" spans="1:17" s="15" customFormat="1" ht="18" customHeight="1" x14ac:dyDescent="0.2">
      <c r="A370" s="43" t="s">
        <v>767</v>
      </c>
      <c r="B370" s="46" t="s">
        <v>19</v>
      </c>
      <c r="C370" s="44" t="s">
        <v>793</v>
      </c>
      <c r="D370" s="34">
        <v>5017</v>
      </c>
      <c r="E370" s="46" t="s">
        <v>781</v>
      </c>
      <c r="F370" s="35">
        <v>77000</v>
      </c>
      <c r="G370" s="40">
        <v>35700</v>
      </c>
      <c r="H370" s="35">
        <f>9300+77000</f>
        <v>86300</v>
      </c>
      <c r="I370" s="35">
        <f t="shared" si="10"/>
        <v>122000</v>
      </c>
      <c r="J370" s="36">
        <f t="shared" si="11"/>
        <v>2.4173669467787113</v>
      </c>
      <c r="K370" s="48" t="s">
        <v>37</v>
      </c>
      <c r="L370" s="48" t="s">
        <v>42</v>
      </c>
      <c r="M370" s="38">
        <v>42308</v>
      </c>
      <c r="N370" s="48" t="s">
        <v>36</v>
      </c>
      <c r="O370" s="35">
        <v>77000</v>
      </c>
      <c r="P370" s="35"/>
      <c r="Q370" s="35"/>
    </row>
    <row r="371" spans="1:17" s="15" customFormat="1" ht="18" customHeight="1" x14ac:dyDescent="0.2">
      <c r="A371" s="43" t="s">
        <v>487</v>
      </c>
      <c r="B371" s="46" t="s">
        <v>46</v>
      </c>
      <c r="C371" s="44" t="s">
        <v>498</v>
      </c>
      <c r="D371" s="47">
        <v>4414</v>
      </c>
      <c r="E371" s="46" t="s">
        <v>513</v>
      </c>
      <c r="F371" s="35">
        <f>7500*3</f>
        <v>22500</v>
      </c>
      <c r="G371" s="40">
        <f>7500*3</f>
        <v>22500</v>
      </c>
      <c r="H371" s="35">
        <v>0</v>
      </c>
      <c r="I371" s="35">
        <f t="shared" si="10"/>
        <v>22500</v>
      </c>
      <c r="J371" s="36">
        <f t="shared" si="11"/>
        <v>0</v>
      </c>
      <c r="K371" s="48" t="s">
        <v>37</v>
      </c>
      <c r="L371" s="48" t="s">
        <v>37</v>
      </c>
      <c r="M371" s="38">
        <v>41455</v>
      </c>
      <c r="N371" s="48" t="s">
        <v>64</v>
      </c>
      <c r="O371" s="41">
        <v>7500</v>
      </c>
      <c r="P371" s="41">
        <v>7500</v>
      </c>
      <c r="Q371" s="41">
        <v>7500</v>
      </c>
    </row>
    <row r="372" spans="1:17" s="15" customFormat="1" ht="26.25" customHeight="1" x14ac:dyDescent="0.2">
      <c r="A372" s="43" t="s">
        <v>135</v>
      </c>
      <c r="B372" s="46" t="s">
        <v>17</v>
      </c>
      <c r="C372" s="44" t="s">
        <v>143</v>
      </c>
      <c r="D372" s="34">
        <v>3618</v>
      </c>
      <c r="E372" s="46" t="s">
        <v>139</v>
      </c>
      <c r="F372" s="49">
        <f>28000+28000+28000</f>
        <v>84000</v>
      </c>
      <c r="G372" s="40">
        <v>25000</v>
      </c>
      <c r="H372" s="35">
        <f>25000+28000+28000+28000</f>
        <v>109000</v>
      </c>
      <c r="I372" s="35">
        <f t="shared" si="10"/>
        <v>134000</v>
      </c>
      <c r="J372" s="36">
        <f t="shared" si="11"/>
        <v>4.3600000000000003</v>
      </c>
      <c r="K372" s="48" t="s">
        <v>37</v>
      </c>
      <c r="L372" s="48" t="s">
        <v>37</v>
      </c>
      <c r="M372" s="38">
        <v>41090</v>
      </c>
      <c r="N372" s="48" t="s">
        <v>64</v>
      </c>
      <c r="O372" s="41">
        <f>28000+28000</f>
        <v>56000</v>
      </c>
      <c r="P372" s="55">
        <v>28000</v>
      </c>
      <c r="Q372" s="41"/>
    </row>
    <row r="373" spans="1:17" s="15" customFormat="1" ht="38.25" customHeight="1" x14ac:dyDescent="0.2">
      <c r="A373" s="43" t="s">
        <v>1428</v>
      </c>
      <c r="B373" s="46" t="s">
        <v>46</v>
      </c>
      <c r="C373" s="44" t="s">
        <v>1430</v>
      </c>
      <c r="D373" s="47" t="s">
        <v>41</v>
      </c>
      <c r="E373" s="46" t="s">
        <v>1432</v>
      </c>
      <c r="F373" s="35">
        <v>60000</v>
      </c>
      <c r="G373" s="40">
        <v>60000</v>
      </c>
      <c r="H373" s="35">
        <v>0</v>
      </c>
      <c r="I373" s="35">
        <f t="shared" si="10"/>
        <v>60000</v>
      </c>
      <c r="J373" s="36">
        <f t="shared" si="11"/>
        <v>0</v>
      </c>
      <c r="K373" s="48" t="s">
        <v>37</v>
      </c>
      <c r="L373" s="48" t="s">
        <v>37</v>
      </c>
      <c r="M373" s="38">
        <v>41577</v>
      </c>
      <c r="N373" s="48"/>
      <c r="O373" s="35">
        <v>60000</v>
      </c>
      <c r="P373" s="35"/>
      <c r="Q373" s="35"/>
    </row>
    <row r="374" spans="1:17" s="15" customFormat="1" ht="26.25" customHeight="1" x14ac:dyDescent="0.2">
      <c r="A374" s="43" t="s">
        <v>169</v>
      </c>
      <c r="B374" s="46" t="s">
        <v>19</v>
      </c>
      <c r="C374" s="44" t="s">
        <v>27</v>
      </c>
      <c r="D374" s="34">
        <v>4153</v>
      </c>
      <c r="E374" s="46" t="s">
        <v>197</v>
      </c>
      <c r="F374" s="35">
        <f>26000*3</f>
        <v>78000</v>
      </c>
      <c r="G374" s="40">
        <f>26000*3</f>
        <v>78000</v>
      </c>
      <c r="H374" s="35">
        <v>0</v>
      </c>
      <c r="I374" s="35">
        <f t="shared" si="10"/>
        <v>78000</v>
      </c>
      <c r="J374" s="36">
        <f t="shared" si="11"/>
        <v>0</v>
      </c>
      <c r="K374" s="48" t="s">
        <v>37</v>
      </c>
      <c r="L374" s="48" t="s">
        <v>37</v>
      </c>
      <c r="M374" s="38">
        <v>41455</v>
      </c>
      <c r="N374" s="48" t="s">
        <v>64</v>
      </c>
      <c r="O374" s="41">
        <v>26000</v>
      </c>
      <c r="P374" s="41">
        <v>26000</v>
      </c>
      <c r="Q374" s="41">
        <v>26000</v>
      </c>
    </row>
    <row r="375" spans="1:17" s="15" customFormat="1" ht="26.25" customHeight="1" x14ac:dyDescent="0.2">
      <c r="A375" s="43" t="s">
        <v>764</v>
      </c>
      <c r="B375" s="46" t="s">
        <v>47</v>
      </c>
      <c r="C375" s="44" t="s">
        <v>791</v>
      </c>
      <c r="D375" s="34">
        <v>4517</v>
      </c>
      <c r="E375" s="46" t="s">
        <v>778</v>
      </c>
      <c r="F375" s="35">
        <f>80000*3</f>
        <v>240000</v>
      </c>
      <c r="G375" s="40">
        <f>80000*3</f>
        <v>240000</v>
      </c>
      <c r="H375" s="35">
        <v>0</v>
      </c>
      <c r="I375" s="35">
        <f t="shared" si="10"/>
        <v>240000</v>
      </c>
      <c r="J375" s="36">
        <f t="shared" si="11"/>
        <v>0</v>
      </c>
      <c r="K375" s="48" t="s">
        <v>37</v>
      </c>
      <c r="L375" s="48" t="s">
        <v>37</v>
      </c>
      <c r="M375" s="38">
        <v>41608</v>
      </c>
      <c r="N375" s="48" t="s">
        <v>64</v>
      </c>
      <c r="O375" s="35">
        <v>80000</v>
      </c>
      <c r="P375" s="35">
        <v>80000</v>
      </c>
      <c r="Q375" s="35">
        <v>80000</v>
      </c>
    </row>
    <row r="376" spans="1:17" s="15" customFormat="1" ht="26.25" customHeight="1" x14ac:dyDescent="0.2">
      <c r="A376" s="43" t="s">
        <v>869</v>
      </c>
      <c r="B376" s="46" t="s">
        <v>47</v>
      </c>
      <c r="C376" s="44" t="s">
        <v>791</v>
      </c>
      <c r="D376" s="34">
        <v>4727</v>
      </c>
      <c r="E376" s="46" t="s">
        <v>877</v>
      </c>
      <c r="F376" s="35">
        <v>24425</v>
      </c>
      <c r="G376" s="40">
        <v>24425</v>
      </c>
      <c r="H376" s="35">
        <v>0</v>
      </c>
      <c r="I376" s="35">
        <f t="shared" si="10"/>
        <v>24425</v>
      </c>
      <c r="J376" s="36">
        <f t="shared" si="11"/>
        <v>0</v>
      </c>
      <c r="K376" s="48" t="s">
        <v>37</v>
      </c>
      <c r="L376" s="48" t="s">
        <v>37</v>
      </c>
      <c r="M376" s="38">
        <v>41243</v>
      </c>
      <c r="N376" s="37"/>
      <c r="O376" s="35">
        <v>24425</v>
      </c>
      <c r="P376" s="35"/>
      <c r="Q376" s="35"/>
    </row>
    <row r="377" spans="1:17" s="15" customFormat="1" ht="26.25" customHeight="1" x14ac:dyDescent="0.2">
      <c r="A377" s="43" t="s">
        <v>870</v>
      </c>
      <c r="B377" s="46" t="s">
        <v>47</v>
      </c>
      <c r="C377" s="44" t="s">
        <v>791</v>
      </c>
      <c r="D377" s="34">
        <v>4729</v>
      </c>
      <c r="E377" s="46" t="s">
        <v>878</v>
      </c>
      <c r="F377" s="35">
        <v>7613</v>
      </c>
      <c r="G377" s="40">
        <v>7613</v>
      </c>
      <c r="H377" s="35">
        <v>0</v>
      </c>
      <c r="I377" s="35">
        <f t="shared" si="10"/>
        <v>7613</v>
      </c>
      <c r="J377" s="36">
        <f t="shared" si="11"/>
        <v>0</v>
      </c>
      <c r="K377" s="48" t="s">
        <v>37</v>
      </c>
      <c r="L377" s="48" t="s">
        <v>37</v>
      </c>
      <c r="M377" s="38">
        <v>41243</v>
      </c>
      <c r="N377" s="37"/>
      <c r="O377" s="35">
        <v>7613</v>
      </c>
      <c r="P377" s="35"/>
      <c r="Q377" s="35"/>
    </row>
    <row r="378" spans="1:17" s="15" customFormat="1" ht="26.25" customHeight="1" x14ac:dyDescent="0.2">
      <c r="A378" s="43" t="s">
        <v>1248</v>
      </c>
      <c r="B378" s="46" t="s">
        <v>47</v>
      </c>
      <c r="C378" s="44" t="s">
        <v>791</v>
      </c>
      <c r="D378" s="47">
        <v>5769</v>
      </c>
      <c r="E378" s="46" t="s">
        <v>1239</v>
      </c>
      <c r="F378" s="35">
        <v>23000</v>
      </c>
      <c r="G378" s="40">
        <v>23000</v>
      </c>
      <c r="H378" s="35">
        <v>0</v>
      </c>
      <c r="I378" s="35">
        <f t="shared" si="10"/>
        <v>23000</v>
      </c>
      <c r="J378" s="36">
        <f t="shared" si="11"/>
        <v>0</v>
      </c>
      <c r="K378" s="48" t="s">
        <v>37</v>
      </c>
      <c r="L378" s="48" t="s">
        <v>37</v>
      </c>
      <c r="M378" s="38">
        <v>41362</v>
      </c>
      <c r="N378" s="48"/>
      <c r="O378" s="35">
        <v>23000</v>
      </c>
      <c r="P378" s="35"/>
      <c r="Q378" s="35"/>
    </row>
    <row r="379" spans="1:17" s="15" customFormat="1" ht="26.25" customHeight="1" x14ac:dyDescent="0.2">
      <c r="A379" s="43" t="s">
        <v>874</v>
      </c>
      <c r="B379" s="46" t="s">
        <v>39</v>
      </c>
      <c r="C379" s="44" t="s">
        <v>881</v>
      </c>
      <c r="D379" s="34">
        <v>5031</v>
      </c>
      <c r="E379" s="46" t="s">
        <v>876</v>
      </c>
      <c r="F379" s="35">
        <v>23688</v>
      </c>
      <c r="G379" s="40">
        <v>23688</v>
      </c>
      <c r="H379" s="35">
        <v>0</v>
      </c>
      <c r="I379" s="35">
        <f t="shared" si="10"/>
        <v>23688</v>
      </c>
      <c r="J379" s="36">
        <f t="shared" si="11"/>
        <v>0</v>
      </c>
      <c r="K379" s="48" t="s">
        <v>37</v>
      </c>
      <c r="L379" s="48" t="s">
        <v>37</v>
      </c>
      <c r="M379" s="38">
        <v>41572</v>
      </c>
      <c r="N379" s="37"/>
      <c r="O379" s="35">
        <v>23688</v>
      </c>
      <c r="P379" s="35"/>
      <c r="Q379" s="35"/>
    </row>
    <row r="380" spans="1:17" s="15" customFormat="1" ht="26.25" customHeight="1" x14ac:dyDescent="0.2">
      <c r="A380" s="43" t="s">
        <v>590</v>
      </c>
      <c r="B380" s="46" t="s">
        <v>46</v>
      </c>
      <c r="C380" s="44" t="s">
        <v>71</v>
      </c>
      <c r="D380" s="34">
        <v>4501</v>
      </c>
      <c r="E380" s="46" t="s">
        <v>594</v>
      </c>
      <c r="F380" s="35">
        <f>22330*3</f>
        <v>66990</v>
      </c>
      <c r="G380" s="40">
        <f>22330*3</f>
        <v>66990</v>
      </c>
      <c r="H380" s="35">
        <v>0</v>
      </c>
      <c r="I380" s="35">
        <f t="shared" si="10"/>
        <v>66990</v>
      </c>
      <c r="J380" s="36">
        <f t="shared" si="11"/>
        <v>0</v>
      </c>
      <c r="K380" s="48" t="s">
        <v>37</v>
      </c>
      <c r="L380" s="48" t="s">
        <v>37</v>
      </c>
      <c r="M380" s="38">
        <v>41455</v>
      </c>
      <c r="N380" s="48" t="s">
        <v>64</v>
      </c>
      <c r="O380" s="35">
        <v>22330</v>
      </c>
      <c r="P380" s="35">
        <v>22330</v>
      </c>
      <c r="Q380" s="35">
        <v>22330</v>
      </c>
    </row>
    <row r="381" spans="1:17" s="15" customFormat="1" ht="26.25" customHeight="1" x14ac:dyDescent="0.2">
      <c r="A381" s="43" t="s">
        <v>1186</v>
      </c>
      <c r="B381" s="46" t="s">
        <v>18</v>
      </c>
      <c r="C381" s="44" t="s">
        <v>1193</v>
      </c>
      <c r="D381" s="47" t="s">
        <v>1199</v>
      </c>
      <c r="E381" s="46" t="s">
        <v>1201</v>
      </c>
      <c r="F381" s="35">
        <v>30000</v>
      </c>
      <c r="G381" s="40">
        <v>10000</v>
      </c>
      <c r="H381" s="35">
        <f>143000+30000</f>
        <v>173000</v>
      </c>
      <c r="I381" s="35">
        <f t="shared" si="10"/>
        <v>183000</v>
      </c>
      <c r="J381" s="36">
        <f t="shared" si="11"/>
        <v>17.3</v>
      </c>
      <c r="K381" s="48" t="s">
        <v>37</v>
      </c>
      <c r="L381" s="48" t="s">
        <v>37</v>
      </c>
      <c r="M381" s="52" t="s">
        <v>69</v>
      </c>
      <c r="N381" s="48" t="s">
        <v>36</v>
      </c>
      <c r="O381" s="35">
        <v>30000</v>
      </c>
      <c r="P381" s="35"/>
      <c r="Q381" s="35"/>
    </row>
    <row r="382" spans="1:17" s="15" customFormat="1" ht="26.25" customHeight="1" x14ac:dyDescent="0.2">
      <c r="A382" s="43" t="s">
        <v>1144</v>
      </c>
      <c r="B382" s="46" t="s">
        <v>1150</v>
      </c>
      <c r="C382" s="44" t="s">
        <v>1151</v>
      </c>
      <c r="D382" s="34">
        <v>4838</v>
      </c>
      <c r="E382" s="46" t="s">
        <v>1154</v>
      </c>
      <c r="F382" s="35">
        <v>99000</v>
      </c>
      <c r="G382" s="40">
        <v>99000</v>
      </c>
      <c r="H382" s="35">
        <v>0</v>
      </c>
      <c r="I382" s="35">
        <f t="shared" si="10"/>
        <v>99000</v>
      </c>
      <c r="J382" s="36">
        <f t="shared" si="11"/>
        <v>0</v>
      </c>
      <c r="K382" s="48" t="s">
        <v>37</v>
      </c>
      <c r="L382" s="48" t="s">
        <v>37</v>
      </c>
      <c r="M382" s="38">
        <v>41578</v>
      </c>
      <c r="N382" s="48"/>
      <c r="O382" s="35">
        <v>99000</v>
      </c>
      <c r="P382" s="35"/>
      <c r="Q382" s="35"/>
    </row>
    <row r="383" spans="1:17" s="15" customFormat="1" ht="26.25" customHeight="1" x14ac:dyDescent="0.2">
      <c r="A383" s="43" t="s">
        <v>161</v>
      </c>
      <c r="B383" s="46" t="s">
        <v>48</v>
      </c>
      <c r="C383" s="44" t="s">
        <v>58</v>
      </c>
      <c r="D383" s="47">
        <v>4028</v>
      </c>
      <c r="E383" s="46" t="s">
        <v>189</v>
      </c>
      <c r="F383" s="49">
        <v>20000</v>
      </c>
      <c r="G383" s="50">
        <v>49500</v>
      </c>
      <c r="H383" s="49">
        <f>12000+14000+20000+4000+20000</f>
        <v>70000</v>
      </c>
      <c r="I383" s="49">
        <f t="shared" si="10"/>
        <v>119500</v>
      </c>
      <c r="J383" s="51">
        <f t="shared" si="11"/>
        <v>1.4141414141414141</v>
      </c>
      <c r="K383" s="48" t="s">
        <v>37</v>
      </c>
      <c r="L383" s="48" t="s">
        <v>37</v>
      </c>
      <c r="M383" s="52">
        <v>41182</v>
      </c>
      <c r="N383" s="48" t="s">
        <v>36</v>
      </c>
      <c r="O383" s="41">
        <v>20000</v>
      </c>
      <c r="P383" s="41"/>
      <c r="Q383" s="41"/>
    </row>
    <row r="384" spans="1:17" s="15" customFormat="1" ht="26.25" customHeight="1" x14ac:dyDescent="0.2">
      <c r="A384" s="43" t="s">
        <v>536</v>
      </c>
      <c r="B384" s="46" t="s">
        <v>50</v>
      </c>
      <c r="C384" s="44" t="s">
        <v>58</v>
      </c>
      <c r="D384" s="47">
        <v>4187</v>
      </c>
      <c r="E384" s="46" t="s">
        <v>567</v>
      </c>
      <c r="F384" s="35">
        <v>9825</v>
      </c>
      <c r="G384" s="40">
        <v>35000</v>
      </c>
      <c r="H384" s="35">
        <f>9000+9825</f>
        <v>18825</v>
      </c>
      <c r="I384" s="35">
        <f t="shared" ref="I384:I447" si="12">G384+H384</f>
        <v>53825</v>
      </c>
      <c r="J384" s="36">
        <f t="shared" ref="J384:J447" si="13">IF(G384=0,100%,(I384-G384)/G384)</f>
        <v>0.53785714285714281</v>
      </c>
      <c r="K384" s="48" t="s">
        <v>37</v>
      </c>
      <c r="L384" s="48" t="s">
        <v>37</v>
      </c>
      <c r="M384" s="38">
        <v>41274</v>
      </c>
      <c r="N384" s="48" t="s">
        <v>36</v>
      </c>
      <c r="O384" s="41">
        <v>9825</v>
      </c>
      <c r="P384" s="41"/>
      <c r="Q384" s="41"/>
    </row>
    <row r="385" spans="1:17" s="15" customFormat="1" ht="26.25" customHeight="1" x14ac:dyDescent="0.2">
      <c r="A385" s="43" t="s">
        <v>695</v>
      </c>
      <c r="B385" s="46" t="s">
        <v>48</v>
      </c>
      <c r="C385" s="44" t="s">
        <v>58</v>
      </c>
      <c r="D385" s="34">
        <v>4741</v>
      </c>
      <c r="E385" s="46" t="s">
        <v>189</v>
      </c>
      <c r="F385" s="35">
        <v>20000</v>
      </c>
      <c r="G385" s="40">
        <v>49500</v>
      </c>
      <c r="H385" s="35">
        <f>12000+14000+20000+4000+20000+20000</f>
        <v>90000</v>
      </c>
      <c r="I385" s="35">
        <f t="shared" si="12"/>
        <v>139500</v>
      </c>
      <c r="J385" s="36">
        <f t="shared" si="13"/>
        <v>1.8181818181818181</v>
      </c>
      <c r="K385" s="48" t="s">
        <v>37</v>
      </c>
      <c r="L385" s="48" t="s">
        <v>37</v>
      </c>
      <c r="M385" s="38">
        <v>41455</v>
      </c>
      <c r="N385" s="48" t="s">
        <v>36</v>
      </c>
      <c r="O385" s="35">
        <v>20000</v>
      </c>
      <c r="P385" s="35"/>
      <c r="Q385" s="35"/>
    </row>
    <row r="386" spans="1:17" s="15" customFormat="1" ht="26.25" customHeight="1" x14ac:dyDescent="0.2">
      <c r="A386" s="43" t="s">
        <v>1020</v>
      </c>
      <c r="B386" s="46" t="s">
        <v>80</v>
      </c>
      <c r="C386" s="44" t="s">
        <v>1025</v>
      </c>
      <c r="D386" s="47" t="s">
        <v>41</v>
      </c>
      <c r="E386" s="46" t="s">
        <v>1030</v>
      </c>
      <c r="F386" s="35">
        <v>49980</v>
      </c>
      <c r="G386" s="40">
        <v>49980</v>
      </c>
      <c r="H386" s="35">
        <v>0</v>
      </c>
      <c r="I386" s="35">
        <f t="shared" si="12"/>
        <v>49980</v>
      </c>
      <c r="J386" s="36">
        <f t="shared" si="13"/>
        <v>0</v>
      </c>
      <c r="K386" s="48" t="s">
        <v>37</v>
      </c>
      <c r="L386" s="48" t="s">
        <v>37</v>
      </c>
      <c r="M386" s="52">
        <v>41547</v>
      </c>
      <c r="N386" s="48"/>
      <c r="O386" s="35">
        <v>49980</v>
      </c>
      <c r="P386" s="35"/>
      <c r="Q386" s="35"/>
    </row>
    <row r="387" spans="1:17" s="15" customFormat="1" ht="26.25" customHeight="1" x14ac:dyDescent="0.2">
      <c r="A387" s="43" t="s">
        <v>959</v>
      </c>
      <c r="B387" s="46" t="s">
        <v>40</v>
      </c>
      <c r="C387" s="44" t="s">
        <v>969</v>
      </c>
      <c r="D387" s="34">
        <v>5129</v>
      </c>
      <c r="E387" s="46" t="s">
        <v>964</v>
      </c>
      <c r="F387" s="35">
        <f>6500*3</f>
        <v>19500</v>
      </c>
      <c r="G387" s="40">
        <f>6500*3</f>
        <v>19500</v>
      </c>
      <c r="H387" s="35">
        <v>0</v>
      </c>
      <c r="I387" s="35">
        <f t="shared" si="12"/>
        <v>19500</v>
      </c>
      <c r="J387" s="36">
        <f t="shared" si="13"/>
        <v>0</v>
      </c>
      <c r="K387" s="48" t="s">
        <v>37</v>
      </c>
      <c r="L387" s="48" t="s">
        <v>37</v>
      </c>
      <c r="M387" s="38">
        <v>41455</v>
      </c>
      <c r="N387" s="48" t="s">
        <v>64</v>
      </c>
      <c r="O387" s="35">
        <v>6500</v>
      </c>
      <c r="P387" s="35">
        <v>6500</v>
      </c>
      <c r="Q387" s="35">
        <v>6500</v>
      </c>
    </row>
    <row r="388" spans="1:17" s="15" customFormat="1" ht="26.25" customHeight="1" x14ac:dyDescent="0.2">
      <c r="A388" s="43" t="s">
        <v>983</v>
      </c>
      <c r="B388" s="46" t="s">
        <v>50</v>
      </c>
      <c r="C388" s="44" t="s">
        <v>987</v>
      </c>
      <c r="D388" s="34">
        <v>4894</v>
      </c>
      <c r="E388" s="46" t="s">
        <v>992</v>
      </c>
      <c r="F388" s="35">
        <v>29900</v>
      </c>
      <c r="G388" s="40">
        <v>5000</v>
      </c>
      <c r="H388" s="35">
        <f>12000+8000+27000+30000+29900</f>
        <v>106900</v>
      </c>
      <c r="I388" s="35">
        <f t="shared" si="12"/>
        <v>111900</v>
      </c>
      <c r="J388" s="36">
        <f t="shared" si="13"/>
        <v>21.38</v>
      </c>
      <c r="K388" s="48" t="s">
        <v>37</v>
      </c>
      <c r="L388" s="48" t="s">
        <v>37</v>
      </c>
      <c r="M388" s="38">
        <v>41820</v>
      </c>
      <c r="N388" s="48" t="s">
        <v>36</v>
      </c>
      <c r="O388" s="35">
        <v>29900</v>
      </c>
      <c r="P388" s="35"/>
      <c r="Q388" s="35"/>
    </row>
    <row r="389" spans="1:17" s="15" customFormat="1" ht="26.25" customHeight="1" x14ac:dyDescent="0.2">
      <c r="A389" s="43" t="s">
        <v>321</v>
      </c>
      <c r="B389" s="46" t="s">
        <v>26</v>
      </c>
      <c r="C389" s="44" t="s">
        <v>344</v>
      </c>
      <c r="D389" s="47" t="s">
        <v>362</v>
      </c>
      <c r="E389" s="46" t="s">
        <v>33</v>
      </c>
      <c r="F389" s="35">
        <v>20000</v>
      </c>
      <c r="G389" s="40">
        <v>20000</v>
      </c>
      <c r="H389" s="35">
        <v>0</v>
      </c>
      <c r="I389" s="35">
        <f t="shared" si="12"/>
        <v>20000</v>
      </c>
      <c r="J389" s="36">
        <f t="shared" si="13"/>
        <v>0</v>
      </c>
      <c r="K389" s="48" t="s">
        <v>37</v>
      </c>
      <c r="L389" s="48" t="s">
        <v>37</v>
      </c>
      <c r="M389" s="38">
        <v>41455</v>
      </c>
      <c r="N389" s="37"/>
      <c r="O389" s="41">
        <v>20000</v>
      </c>
      <c r="P389" s="41"/>
      <c r="Q389" s="41"/>
    </row>
    <row r="390" spans="1:17" s="15" customFormat="1" ht="26.25" customHeight="1" x14ac:dyDescent="0.2">
      <c r="A390" s="43" t="s">
        <v>261</v>
      </c>
      <c r="B390" s="46" t="s">
        <v>125</v>
      </c>
      <c r="C390" s="44" t="s">
        <v>81</v>
      </c>
      <c r="D390" s="47" t="s">
        <v>296</v>
      </c>
      <c r="E390" s="46" t="s">
        <v>277</v>
      </c>
      <c r="F390" s="35">
        <v>50000</v>
      </c>
      <c r="G390" s="40">
        <v>50000</v>
      </c>
      <c r="H390" s="35">
        <v>50000</v>
      </c>
      <c r="I390" s="35">
        <f t="shared" si="12"/>
        <v>100000</v>
      </c>
      <c r="J390" s="36">
        <f t="shared" si="13"/>
        <v>1</v>
      </c>
      <c r="K390" s="48" t="s">
        <v>37</v>
      </c>
      <c r="L390" s="48" t="s">
        <v>37</v>
      </c>
      <c r="M390" s="38">
        <v>41455</v>
      </c>
      <c r="N390" s="48" t="s">
        <v>36</v>
      </c>
      <c r="O390" s="41">
        <v>50000</v>
      </c>
      <c r="P390" s="41"/>
      <c r="Q390" s="41"/>
    </row>
    <row r="391" spans="1:17" s="15" customFormat="1" ht="26.25" customHeight="1" x14ac:dyDescent="0.2">
      <c r="A391" s="43" t="s">
        <v>1037</v>
      </c>
      <c r="B391" s="46" t="s">
        <v>26</v>
      </c>
      <c r="C391" s="44" t="s">
        <v>1041</v>
      </c>
      <c r="D391" s="47" t="s">
        <v>41</v>
      </c>
      <c r="E391" s="46" t="s">
        <v>1044</v>
      </c>
      <c r="F391" s="35">
        <v>85000</v>
      </c>
      <c r="G391" s="40">
        <v>85000</v>
      </c>
      <c r="H391" s="35">
        <v>0</v>
      </c>
      <c r="I391" s="35">
        <f t="shared" si="12"/>
        <v>85000</v>
      </c>
      <c r="J391" s="36">
        <f t="shared" si="13"/>
        <v>0</v>
      </c>
      <c r="K391" s="48" t="s">
        <v>37</v>
      </c>
      <c r="L391" s="48" t="s">
        <v>37</v>
      </c>
      <c r="M391" s="38">
        <v>41455</v>
      </c>
      <c r="N391" s="37"/>
      <c r="O391" s="35">
        <v>85000</v>
      </c>
      <c r="P391" s="35"/>
      <c r="Q391" s="35"/>
    </row>
    <row r="392" spans="1:17" s="15" customFormat="1" ht="26.25" customHeight="1" x14ac:dyDescent="0.2">
      <c r="A392" s="43" t="s">
        <v>441</v>
      </c>
      <c r="B392" s="46" t="s">
        <v>452</v>
      </c>
      <c r="C392" s="44" t="s">
        <v>455</v>
      </c>
      <c r="D392" s="47">
        <v>4343</v>
      </c>
      <c r="E392" s="46" t="s">
        <v>467</v>
      </c>
      <c r="F392" s="35">
        <v>7309</v>
      </c>
      <c r="G392" s="40">
        <v>7309</v>
      </c>
      <c r="H392" s="35">
        <v>0</v>
      </c>
      <c r="I392" s="35">
        <f t="shared" si="12"/>
        <v>7309</v>
      </c>
      <c r="J392" s="36">
        <f t="shared" si="13"/>
        <v>0</v>
      </c>
      <c r="K392" s="48" t="s">
        <v>37</v>
      </c>
      <c r="L392" s="48" t="s">
        <v>37</v>
      </c>
      <c r="M392" s="38">
        <v>41152</v>
      </c>
      <c r="N392" s="48"/>
      <c r="O392" s="41">
        <v>7309</v>
      </c>
      <c r="P392" s="41"/>
      <c r="Q392" s="41"/>
    </row>
    <row r="393" spans="1:17" s="15" customFormat="1" ht="26.25" customHeight="1" x14ac:dyDescent="0.2">
      <c r="A393" s="43" t="s">
        <v>807</v>
      </c>
      <c r="B393" s="46" t="s">
        <v>825</v>
      </c>
      <c r="C393" s="44" t="s">
        <v>831</v>
      </c>
      <c r="D393" s="34">
        <v>4097</v>
      </c>
      <c r="E393" s="46" t="s">
        <v>853</v>
      </c>
      <c r="F393" s="35">
        <f>15000*3</f>
        <v>45000</v>
      </c>
      <c r="G393" s="40">
        <f>15000*3</f>
        <v>45000</v>
      </c>
      <c r="H393" s="35">
        <v>0</v>
      </c>
      <c r="I393" s="35">
        <f t="shared" si="12"/>
        <v>45000</v>
      </c>
      <c r="J393" s="36">
        <f t="shared" si="13"/>
        <v>0</v>
      </c>
      <c r="K393" s="48" t="s">
        <v>37</v>
      </c>
      <c r="L393" s="48" t="s">
        <v>37</v>
      </c>
      <c r="M393" s="38">
        <v>41455</v>
      </c>
      <c r="N393" s="48" t="s">
        <v>64</v>
      </c>
      <c r="O393" s="35">
        <v>15000</v>
      </c>
      <c r="P393" s="35">
        <v>15000</v>
      </c>
      <c r="Q393" s="35">
        <v>15000</v>
      </c>
    </row>
    <row r="394" spans="1:17" s="15" customFormat="1" ht="18" customHeight="1" x14ac:dyDescent="0.2">
      <c r="A394" s="43" t="s">
        <v>151</v>
      </c>
      <c r="B394" s="46" t="s">
        <v>45</v>
      </c>
      <c r="C394" s="44" t="s">
        <v>120</v>
      </c>
      <c r="D394" s="47">
        <v>3914</v>
      </c>
      <c r="E394" s="46" t="s">
        <v>179</v>
      </c>
      <c r="F394" s="35">
        <f>10500*3</f>
        <v>31500</v>
      </c>
      <c r="G394" s="40">
        <f>10500*3</f>
        <v>31500</v>
      </c>
      <c r="H394" s="35">
        <v>0</v>
      </c>
      <c r="I394" s="35">
        <f t="shared" si="12"/>
        <v>31500</v>
      </c>
      <c r="J394" s="36">
        <f t="shared" si="13"/>
        <v>0</v>
      </c>
      <c r="K394" s="48" t="s">
        <v>37</v>
      </c>
      <c r="L394" s="48" t="s">
        <v>37</v>
      </c>
      <c r="M394" s="38">
        <v>41455</v>
      </c>
      <c r="N394" s="48" t="s">
        <v>64</v>
      </c>
      <c r="O394" s="41">
        <v>10500</v>
      </c>
      <c r="P394" s="41">
        <v>10500</v>
      </c>
      <c r="Q394" s="41">
        <v>10500</v>
      </c>
    </row>
    <row r="395" spans="1:17" s="15" customFormat="1" ht="26.25" customHeight="1" x14ac:dyDescent="0.2">
      <c r="A395" s="43" t="s">
        <v>920</v>
      </c>
      <c r="B395" s="46" t="s">
        <v>40</v>
      </c>
      <c r="C395" s="44" t="s">
        <v>925</v>
      </c>
      <c r="D395" s="34">
        <v>5015</v>
      </c>
      <c r="E395" s="46" t="s">
        <v>930</v>
      </c>
      <c r="F395" s="35">
        <f>12000*3</f>
        <v>36000</v>
      </c>
      <c r="G395" s="40">
        <f>12000*3</f>
        <v>36000</v>
      </c>
      <c r="H395" s="35">
        <v>0</v>
      </c>
      <c r="I395" s="35">
        <f t="shared" si="12"/>
        <v>36000</v>
      </c>
      <c r="J395" s="36">
        <f t="shared" si="13"/>
        <v>0</v>
      </c>
      <c r="K395" s="48" t="s">
        <v>37</v>
      </c>
      <c r="L395" s="48" t="s">
        <v>42</v>
      </c>
      <c r="M395" s="38">
        <v>41455</v>
      </c>
      <c r="N395" s="48" t="s">
        <v>64</v>
      </c>
      <c r="O395" s="35">
        <v>12000</v>
      </c>
      <c r="P395" s="35">
        <v>12000</v>
      </c>
      <c r="Q395" s="35">
        <v>12000</v>
      </c>
    </row>
    <row r="396" spans="1:17" s="15" customFormat="1" ht="26.25" customHeight="1" x14ac:dyDescent="0.2">
      <c r="A396" s="43" t="s">
        <v>873</v>
      </c>
      <c r="B396" s="46" t="s">
        <v>39</v>
      </c>
      <c r="C396" s="44" t="s">
        <v>880</v>
      </c>
      <c r="D396" s="34">
        <v>5030</v>
      </c>
      <c r="E396" s="46" t="s">
        <v>876</v>
      </c>
      <c r="F396" s="35">
        <f>24960*3</f>
        <v>74880</v>
      </c>
      <c r="G396" s="40">
        <f>24960*3</f>
        <v>74880</v>
      </c>
      <c r="H396" s="35">
        <v>0</v>
      </c>
      <c r="I396" s="35">
        <f t="shared" si="12"/>
        <v>74880</v>
      </c>
      <c r="J396" s="36">
        <f t="shared" si="13"/>
        <v>0</v>
      </c>
      <c r="K396" s="48" t="s">
        <v>37</v>
      </c>
      <c r="L396" s="48" t="s">
        <v>37</v>
      </c>
      <c r="M396" s="38">
        <v>41572</v>
      </c>
      <c r="N396" s="48" t="s">
        <v>64</v>
      </c>
      <c r="O396" s="35">
        <v>24960</v>
      </c>
      <c r="P396" s="35">
        <v>24960</v>
      </c>
      <c r="Q396" s="35">
        <v>24960</v>
      </c>
    </row>
    <row r="397" spans="1:17" s="15" customFormat="1" ht="26.25" customHeight="1" x14ac:dyDescent="0.2">
      <c r="A397" s="43" t="s">
        <v>533</v>
      </c>
      <c r="B397" s="46" t="s">
        <v>48</v>
      </c>
      <c r="C397" s="44" t="s">
        <v>53</v>
      </c>
      <c r="D397" s="47">
        <v>4485</v>
      </c>
      <c r="E397" s="46" t="s">
        <v>564</v>
      </c>
      <c r="F397" s="35">
        <v>13535</v>
      </c>
      <c r="G397" s="40">
        <v>13535</v>
      </c>
      <c r="H397" s="35">
        <v>0</v>
      </c>
      <c r="I397" s="35">
        <f t="shared" si="12"/>
        <v>13535</v>
      </c>
      <c r="J397" s="36">
        <f t="shared" si="13"/>
        <v>0</v>
      </c>
      <c r="K397" s="48" t="s">
        <v>37</v>
      </c>
      <c r="L397" s="48" t="s">
        <v>37</v>
      </c>
      <c r="M397" s="38">
        <v>41455</v>
      </c>
      <c r="N397" s="48"/>
      <c r="O397" s="41">
        <v>13535</v>
      </c>
      <c r="P397" s="41"/>
      <c r="Q397" s="41"/>
    </row>
    <row r="398" spans="1:17" s="15" customFormat="1" ht="26.25" customHeight="1" x14ac:dyDescent="0.2">
      <c r="A398" s="43" t="s">
        <v>300</v>
      </c>
      <c r="B398" s="46" t="s">
        <v>67</v>
      </c>
      <c r="C398" s="44" t="s">
        <v>307</v>
      </c>
      <c r="D398" s="34">
        <v>4178</v>
      </c>
      <c r="E398" s="46" t="s">
        <v>313</v>
      </c>
      <c r="F398" s="35">
        <v>22000</v>
      </c>
      <c r="G398" s="40">
        <v>22000</v>
      </c>
      <c r="H398" s="35">
        <v>0</v>
      </c>
      <c r="I398" s="35">
        <f t="shared" si="12"/>
        <v>22000</v>
      </c>
      <c r="J398" s="36">
        <f t="shared" si="13"/>
        <v>0</v>
      </c>
      <c r="K398" s="48" t="s">
        <v>37</v>
      </c>
      <c r="L398" s="48" t="s">
        <v>37</v>
      </c>
      <c r="M398" s="38">
        <v>41455</v>
      </c>
      <c r="N398" s="37"/>
      <c r="O398" s="41">
        <v>22000</v>
      </c>
      <c r="P398" s="41"/>
      <c r="Q398" s="41"/>
    </row>
    <row r="399" spans="1:17" s="15" customFormat="1" ht="38.25" customHeight="1" x14ac:dyDescent="0.2">
      <c r="A399" s="43" t="s">
        <v>251</v>
      </c>
      <c r="B399" s="46" t="s">
        <v>17</v>
      </c>
      <c r="C399" s="44" t="s">
        <v>284</v>
      </c>
      <c r="D399" s="34">
        <v>4066</v>
      </c>
      <c r="E399" s="46" t="s">
        <v>267</v>
      </c>
      <c r="F399" s="35">
        <f>60000*3</f>
        <v>180000</v>
      </c>
      <c r="G399" s="40">
        <f>60000*3</f>
        <v>180000</v>
      </c>
      <c r="H399" s="35">
        <v>0</v>
      </c>
      <c r="I399" s="35">
        <f t="shared" si="12"/>
        <v>180000</v>
      </c>
      <c r="J399" s="36">
        <f t="shared" si="13"/>
        <v>0</v>
      </c>
      <c r="K399" s="48" t="s">
        <v>37</v>
      </c>
      <c r="L399" s="48" t="s">
        <v>37</v>
      </c>
      <c r="M399" s="38">
        <v>41455</v>
      </c>
      <c r="N399" s="48" t="s">
        <v>64</v>
      </c>
      <c r="O399" s="41">
        <v>60000</v>
      </c>
      <c r="P399" s="41">
        <v>60000</v>
      </c>
      <c r="Q399" s="41">
        <v>60000</v>
      </c>
    </row>
    <row r="400" spans="1:17" s="15" customFormat="1" ht="26.25" customHeight="1" x14ac:dyDescent="0.2">
      <c r="A400" s="43" t="s">
        <v>1065</v>
      </c>
      <c r="B400" s="46" t="s">
        <v>21</v>
      </c>
      <c r="C400" s="44" t="s">
        <v>1071</v>
      </c>
      <c r="D400" s="34">
        <v>5366</v>
      </c>
      <c r="E400" s="46" t="s">
        <v>1078</v>
      </c>
      <c r="F400" s="35">
        <v>24597</v>
      </c>
      <c r="G400" s="40">
        <v>24597</v>
      </c>
      <c r="H400" s="35">
        <v>0</v>
      </c>
      <c r="I400" s="35">
        <f t="shared" si="12"/>
        <v>24597</v>
      </c>
      <c r="J400" s="36">
        <f t="shared" si="13"/>
        <v>0</v>
      </c>
      <c r="K400" s="48" t="s">
        <v>37</v>
      </c>
      <c r="L400" s="48" t="s">
        <v>37</v>
      </c>
      <c r="M400" s="38">
        <v>41362</v>
      </c>
      <c r="N400" s="48"/>
      <c r="O400" s="35">
        <v>24597</v>
      </c>
      <c r="P400" s="35"/>
      <c r="Q400" s="35"/>
    </row>
    <row r="401" spans="1:17" s="15" customFormat="1" ht="26.25" customHeight="1" x14ac:dyDescent="0.2">
      <c r="A401" s="43" t="s">
        <v>1021</v>
      </c>
      <c r="B401" s="46" t="s">
        <v>80</v>
      </c>
      <c r="C401" s="44" t="s">
        <v>1026</v>
      </c>
      <c r="D401" s="34">
        <v>5231</v>
      </c>
      <c r="E401" s="46" t="s">
        <v>1031</v>
      </c>
      <c r="F401" s="35">
        <v>46800</v>
      </c>
      <c r="G401" s="40">
        <v>46800</v>
      </c>
      <c r="H401" s="35">
        <v>0</v>
      </c>
      <c r="I401" s="35">
        <f t="shared" si="12"/>
        <v>46800</v>
      </c>
      <c r="J401" s="36">
        <f t="shared" si="13"/>
        <v>0</v>
      </c>
      <c r="K401" s="48" t="s">
        <v>37</v>
      </c>
      <c r="L401" s="48" t="s">
        <v>37</v>
      </c>
      <c r="M401" s="52">
        <v>41455</v>
      </c>
      <c r="N401" s="48"/>
      <c r="O401" s="35">
        <v>46800</v>
      </c>
      <c r="P401" s="35"/>
      <c r="Q401" s="35"/>
    </row>
    <row r="402" spans="1:17" s="15" customFormat="1" ht="38.25" customHeight="1" x14ac:dyDescent="0.2">
      <c r="A402" s="43" t="s">
        <v>1359</v>
      </c>
      <c r="B402" s="46" t="s">
        <v>1361</v>
      </c>
      <c r="C402" s="44" t="s">
        <v>1362</v>
      </c>
      <c r="D402" s="47">
        <v>6180</v>
      </c>
      <c r="E402" s="46" t="s">
        <v>1364</v>
      </c>
      <c r="F402" s="35">
        <v>46000</v>
      </c>
      <c r="G402" s="40">
        <v>46000</v>
      </c>
      <c r="H402" s="35">
        <v>0</v>
      </c>
      <c r="I402" s="35">
        <f t="shared" si="12"/>
        <v>46000</v>
      </c>
      <c r="J402" s="36">
        <f t="shared" si="13"/>
        <v>0</v>
      </c>
      <c r="K402" s="48" t="s">
        <v>37</v>
      </c>
      <c r="L402" s="48" t="s">
        <v>37</v>
      </c>
      <c r="M402" s="38">
        <v>41639</v>
      </c>
      <c r="N402" s="48"/>
      <c r="O402" s="35">
        <v>46000</v>
      </c>
      <c r="P402" s="35"/>
      <c r="Q402" s="35"/>
    </row>
    <row r="403" spans="1:17" s="15" customFormat="1" ht="18" customHeight="1" x14ac:dyDescent="0.2">
      <c r="A403" s="43" t="s">
        <v>549</v>
      </c>
      <c r="B403" s="46" t="s">
        <v>39</v>
      </c>
      <c r="C403" s="44" t="s">
        <v>561</v>
      </c>
      <c r="D403" s="47">
        <v>4434</v>
      </c>
      <c r="E403" s="46" t="s">
        <v>579</v>
      </c>
      <c r="F403" s="35">
        <f>10000*3</f>
        <v>30000</v>
      </c>
      <c r="G403" s="40">
        <f>10000*3</f>
        <v>30000</v>
      </c>
      <c r="H403" s="35">
        <v>0</v>
      </c>
      <c r="I403" s="35">
        <f t="shared" si="12"/>
        <v>30000</v>
      </c>
      <c r="J403" s="36">
        <f t="shared" si="13"/>
        <v>0</v>
      </c>
      <c r="K403" s="48" t="s">
        <v>37</v>
      </c>
      <c r="L403" s="48" t="s">
        <v>37</v>
      </c>
      <c r="M403" s="38">
        <v>41455</v>
      </c>
      <c r="N403" s="48" t="s">
        <v>64</v>
      </c>
      <c r="O403" s="41">
        <v>10000</v>
      </c>
      <c r="P403" s="41">
        <v>10000</v>
      </c>
      <c r="Q403" s="41">
        <v>10000</v>
      </c>
    </row>
    <row r="404" spans="1:17" s="15" customFormat="1" ht="18" customHeight="1" x14ac:dyDescent="0.2">
      <c r="A404" s="43" t="s">
        <v>1134</v>
      </c>
      <c r="B404" s="46" t="s">
        <v>39</v>
      </c>
      <c r="C404" s="44" t="s">
        <v>561</v>
      </c>
      <c r="D404" s="34">
        <v>5592</v>
      </c>
      <c r="E404" s="46" t="s">
        <v>1141</v>
      </c>
      <c r="F404" s="35">
        <f>6000+6000+6000</f>
        <v>18000</v>
      </c>
      <c r="G404" s="40">
        <v>10000</v>
      </c>
      <c r="H404" s="35">
        <f>18000</f>
        <v>18000</v>
      </c>
      <c r="I404" s="35">
        <f t="shared" si="12"/>
        <v>28000</v>
      </c>
      <c r="J404" s="36">
        <f t="shared" si="13"/>
        <v>1.8</v>
      </c>
      <c r="K404" s="48" t="s">
        <v>37</v>
      </c>
      <c r="L404" s="48" t="s">
        <v>37</v>
      </c>
      <c r="M404" s="38">
        <v>41455</v>
      </c>
      <c r="N404" s="48" t="s">
        <v>64</v>
      </c>
      <c r="O404" s="35">
        <v>6000</v>
      </c>
      <c r="P404" s="35">
        <v>6000</v>
      </c>
      <c r="Q404" s="35">
        <v>6000</v>
      </c>
    </row>
    <row r="405" spans="1:17" s="15" customFormat="1" ht="26.25" customHeight="1" x14ac:dyDescent="0.2">
      <c r="A405" s="43" t="s">
        <v>820</v>
      </c>
      <c r="B405" s="46" t="s">
        <v>48</v>
      </c>
      <c r="C405" s="44" t="s">
        <v>843</v>
      </c>
      <c r="D405" s="34">
        <v>4900</v>
      </c>
      <c r="E405" s="46" t="s">
        <v>860</v>
      </c>
      <c r="F405" s="35">
        <v>12500</v>
      </c>
      <c r="G405" s="40">
        <v>12500</v>
      </c>
      <c r="H405" s="35">
        <v>0</v>
      </c>
      <c r="I405" s="35">
        <f t="shared" si="12"/>
        <v>12500</v>
      </c>
      <c r="J405" s="36">
        <f t="shared" si="13"/>
        <v>0</v>
      </c>
      <c r="K405" s="48" t="s">
        <v>37</v>
      </c>
      <c r="L405" s="48" t="s">
        <v>37</v>
      </c>
      <c r="M405" s="38">
        <v>41305</v>
      </c>
      <c r="N405" s="37"/>
      <c r="O405" s="35">
        <v>12500</v>
      </c>
      <c r="P405" s="35"/>
      <c r="Q405" s="35"/>
    </row>
    <row r="406" spans="1:17" s="15" customFormat="1" ht="26.25" customHeight="1" x14ac:dyDescent="0.2">
      <c r="A406" s="43" t="s">
        <v>823</v>
      </c>
      <c r="B406" s="46" t="s">
        <v>825</v>
      </c>
      <c r="C406" s="44" t="s">
        <v>846</v>
      </c>
      <c r="D406" s="34">
        <v>4946</v>
      </c>
      <c r="E406" s="46" t="s">
        <v>863</v>
      </c>
      <c r="F406" s="35">
        <f>20000*3</f>
        <v>60000</v>
      </c>
      <c r="G406" s="40">
        <f>20000*3</f>
        <v>60000</v>
      </c>
      <c r="H406" s="35">
        <v>0</v>
      </c>
      <c r="I406" s="35">
        <f t="shared" si="12"/>
        <v>60000</v>
      </c>
      <c r="J406" s="36">
        <f t="shared" si="13"/>
        <v>0</v>
      </c>
      <c r="K406" s="48" t="s">
        <v>37</v>
      </c>
      <c r="L406" s="48" t="s">
        <v>37</v>
      </c>
      <c r="M406" s="38">
        <v>41455</v>
      </c>
      <c r="N406" s="48" t="s">
        <v>64</v>
      </c>
      <c r="O406" s="35">
        <v>20000</v>
      </c>
      <c r="P406" s="35">
        <v>20000</v>
      </c>
      <c r="Q406" s="35">
        <v>20000</v>
      </c>
    </row>
    <row r="407" spans="1:17" s="15" customFormat="1" ht="26.25" customHeight="1" x14ac:dyDescent="0.2">
      <c r="A407" s="43" t="s">
        <v>806</v>
      </c>
      <c r="B407" s="46" t="s">
        <v>825</v>
      </c>
      <c r="C407" s="44" t="s">
        <v>830</v>
      </c>
      <c r="D407" s="34">
        <v>4077</v>
      </c>
      <c r="E407" s="46" t="s">
        <v>852</v>
      </c>
      <c r="F407" s="35">
        <f>25000*3</f>
        <v>75000</v>
      </c>
      <c r="G407" s="40">
        <f>25000*3</f>
        <v>75000</v>
      </c>
      <c r="H407" s="35">
        <v>0</v>
      </c>
      <c r="I407" s="35">
        <f t="shared" si="12"/>
        <v>75000</v>
      </c>
      <c r="J407" s="36">
        <f t="shared" si="13"/>
        <v>0</v>
      </c>
      <c r="K407" s="48" t="s">
        <v>37</v>
      </c>
      <c r="L407" s="48" t="s">
        <v>37</v>
      </c>
      <c r="M407" s="38">
        <v>41455</v>
      </c>
      <c r="N407" s="48" t="s">
        <v>64</v>
      </c>
      <c r="O407" s="35">
        <v>25000</v>
      </c>
      <c r="P407" s="35">
        <v>25000</v>
      </c>
      <c r="Q407" s="35">
        <v>25000</v>
      </c>
    </row>
    <row r="408" spans="1:17" s="15" customFormat="1" ht="38.25" customHeight="1" x14ac:dyDescent="0.2">
      <c r="A408" s="43" t="s">
        <v>1149</v>
      </c>
      <c r="B408" s="46" t="s">
        <v>1067</v>
      </c>
      <c r="C408" s="44" t="s">
        <v>1153</v>
      </c>
      <c r="D408" s="34">
        <v>5584</v>
      </c>
      <c r="E408" s="46" t="s">
        <v>1157</v>
      </c>
      <c r="F408" s="35">
        <v>60000</v>
      </c>
      <c r="G408" s="40">
        <v>60000</v>
      </c>
      <c r="H408" s="35">
        <v>0</v>
      </c>
      <c r="I408" s="35">
        <f t="shared" si="12"/>
        <v>60000</v>
      </c>
      <c r="J408" s="36">
        <f t="shared" si="13"/>
        <v>0</v>
      </c>
      <c r="K408" s="48" t="s">
        <v>37</v>
      </c>
      <c r="L408" s="48" t="s">
        <v>37</v>
      </c>
      <c r="M408" s="38">
        <v>41455</v>
      </c>
      <c r="N408" s="48"/>
      <c r="O408" s="35">
        <v>60000</v>
      </c>
      <c r="P408" s="35"/>
      <c r="Q408" s="35"/>
    </row>
    <row r="409" spans="1:17" s="15" customFormat="1" ht="26.25" customHeight="1" x14ac:dyDescent="0.2">
      <c r="A409" s="43" t="s">
        <v>160</v>
      </c>
      <c r="B409" s="46" t="s">
        <v>48</v>
      </c>
      <c r="C409" s="44" t="s">
        <v>60</v>
      </c>
      <c r="D409" s="47">
        <v>4020</v>
      </c>
      <c r="E409" s="46" t="s">
        <v>188</v>
      </c>
      <c r="F409" s="49">
        <v>10000</v>
      </c>
      <c r="G409" s="50">
        <v>10000</v>
      </c>
      <c r="H409" s="49">
        <v>0</v>
      </c>
      <c r="I409" s="49">
        <f t="shared" si="12"/>
        <v>10000</v>
      </c>
      <c r="J409" s="51">
        <f t="shared" si="13"/>
        <v>0</v>
      </c>
      <c r="K409" s="48" t="s">
        <v>37</v>
      </c>
      <c r="L409" s="48" t="s">
        <v>37</v>
      </c>
      <c r="M409" s="52">
        <v>41274</v>
      </c>
      <c r="N409" s="48"/>
      <c r="O409" s="41">
        <v>10000</v>
      </c>
      <c r="P409" s="41"/>
      <c r="Q409" s="41"/>
    </row>
    <row r="410" spans="1:17" s="15" customFormat="1" ht="26.25" customHeight="1" x14ac:dyDescent="0.2">
      <c r="A410" s="43" t="s">
        <v>1136</v>
      </c>
      <c r="B410" s="46" t="s">
        <v>48</v>
      </c>
      <c r="C410" s="44" t="s">
        <v>60</v>
      </c>
      <c r="D410" s="34">
        <v>5616</v>
      </c>
      <c r="E410" s="46" t="s">
        <v>1143</v>
      </c>
      <c r="F410" s="35">
        <v>19068</v>
      </c>
      <c r="G410" s="40">
        <v>19068</v>
      </c>
      <c r="H410" s="35">
        <v>0</v>
      </c>
      <c r="I410" s="35">
        <f t="shared" si="12"/>
        <v>19068</v>
      </c>
      <c r="J410" s="36">
        <f t="shared" si="13"/>
        <v>0</v>
      </c>
      <c r="K410" s="48" t="s">
        <v>37</v>
      </c>
      <c r="L410" s="48" t="s">
        <v>42</v>
      </c>
      <c r="M410" s="38">
        <v>41683</v>
      </c>
      <c r="N410" s="48"/>
      <c r="O410" s="35">
        <v>19068</v>
      </c>
      <c r="P410" s="35"/>
      <c r="Q410" s="35"/>
    </row>
    <row r="411" spans="1:17" s="15" customFormat="1" ht="26.25" customHeight="1" x14ac:dyDescent="0.2">
      <c r="A411" s="43" t="s">
        <v>1159</v>
      </c>
      <c r="B411" s="46" t="s">
        <v>1128</v>
      </c>
      <c r="C411" s="44" t="s">
        <v>60</v>
      </c>
      <c r="D411" s="47" t="s">
        <v>1165</v>
      </c>
      <c r="E411" s="46" t="s">
        <v>1168</v>
      </c>
      <c r="F411" s="35">
        <v>6000</v>
      </c>
      <c r="G411" s="40">
        <v>10000</v>
      </c>
      <c r="H411" s="35">
        <v>6000</v>
      </c>
      <c r="I411" s="35">
        <f t="shared" si="12"/>
        <v>16000</v>
      </c>
      <c r="J411" s="36">
        <f t="shared" si="13"/>
        <v>0.6</v>
      </c>
      <c r="K411" s="48" t="s">
        <v>37</v>
      </c>
      <c r="L411" s="48" t="s">
        <v>37</v>
      </c>
      <c r="M411" s="38">
        <v>41333</v>
      </c>
      <c r="N411" s="48" t="s">
        <v>36</v>
      </c>
      <c r="O411" s="35">
        <v>6000</v>
      </c>
      <c r="P411" s="35"/>
      <c r="Q411" s="35"/>
    </row>
    <row r="412" spans="1:17" s="15" customFormat="1" ht="26.25" customHeight="1" x14ac:dyDescent="0.2">
      <c r="A412" s="43" t="s">
        <v>937</v>
      </c>
      <c r="B412" s="46" t="s">
        <v>72</v>
      </c>
      <c r="C412" s="44" t="s">
        <v>944</v>
      </c>
      <c r="D412" s="34">
        <v>4752</v>
      </c>
      <c r="E412" s="46" t="s">
        <v>950</v>
      </c>
      <c r="F412" s="35">
        <f>64973+7475+7475</f>
        <v>79923</v>
      </c>
      <c r="G412" s="40">
        <f>64973+7475+7475</f>
        <v>79923</v>
      </c>
      <c r="H412" s="35">
        <v>0</v>
      </c>
      <c r="I412" s="35">
        <f t="shared" si="12"/>
        <v>79923</v>
      </c>
      <c r="J412" s="36">
        <f t="shared" si="13"/>
        <v>0</v>
      </c>
      <c r="K412" s="48" t="s">
        <v>37</v>
      </c>
      <c r="L412" s="48" t="s">
        <v>42</v>
      </c>
      <c r="M412" s="38">
        <v>41603</v>
      </c>
      <c r="N412" s="48" t="s">
        <v>64</v>
      </c>
      <c r="O412" s="35">
        <v>64973</v>
      </c>
      <c r="P412" s="35">
        <v>7475</v>
      </c>
      <c r="Q412" s="35">
        <v>7475</v>
      </c>
    </row>
    <row r="413" spans="1:17" s="15" customFormat="1" ht="26.25" customHeight="1" x14ac:dyDescent="0.2">
      <c r="A413" s="43" t="s">
        <v>956</v>
      </c>
      <c r="B413" s="46" t="s">
        <v>18</v>
      </c>
      <c r="C413" s="44" t="s">
        <v>966</v>
      </c>
      <c r="D413" s="34">
        <v>4965</v>
      </c>
      <c r="E413" s="46" t="s">
        <v>962</v>
      </c>
      <c r="F413" s="35">
        <v>20000</v>
      </c>
      <c r="G413" s="40">
        <v>5000</v>
      </c>
      <c r="H413" s="35">
        <v>20000</v>
      </c>
      <c r="I413" s="35">
        <f t="shared" si="12"/>
        <v>25000</v>
      </c>
      <c r="J413" s="36">
        <f t="shared" si="13"/>
        <v>4</v>
      </c>
      <c r="K413" s="48" t="s">
        <v>37</v>
      </c>
      <c r="L413" s="48" t="s">
        <v>37</v>
      </c>
      <c r="M413" s="52" t="s">
        <v>69</v>
      </c>
      <c r="N413" s="48" t="s">
        <v>36</v>
      </c>
      <c r="O413" s="35">
        <v>20000</v>
      </c>
      <c r="P413" s="35"/>
      <c r="Q413" s="35"/>
    </row>
    <row r="414" spans="1:17" s="15" customFormat="1" ht="38.25" customHeight="1" x14ac:dyDescent="0.2">
      <c r="A414" s="43" t="s">
        <v>1108</v>
      </c>
      <c r="B414" s="46" t="s">
        <v>18</v>
      </c>
      <c r="C414" s="44" t="s">
        <v>966</v>
      </c>
      <c r="D414" s="34">
        <v>5505</v>
      </c>
      <c r="E414" s="46" t="s">
        <v>1123</v>
      </c>
      <c r="F414" s="35">
        <v>15000</v>
      </c>
      <c r="G414" s="40">
        <v>5000</v>
      </c>
      <c r="H414" s="35">
        <v>15000</v>
      </c>
      <c r="I414" s="35">
        <f t="shared" si="12"/>
        <v>20000</v>
      </c>
      <c r="J414" s="36">
        <f t="shared" si="13"/>
        <v>3</v>
      </c>
      <c r="K414" s="48" t="s">
        <v>37</v>
      </c>
      <c r="L414" s="48" t="s">
        <v>37</v>
      </c>
      <c r="M414" s="52" t="s">
        <v>69</v>
      </c>
      <c r="N414" s="48" t="s">
        <v>36</v>
      </c>
      <c r="O414" s="35">
        <v>15000</v>
      </c>
      <c r="P414" s="35"/>
      <c r="Q414" s="35"/>
    </row>
    <row r="415" spans="1:17" s="15" customFormat="1" ht="26.25" customHeight="1" x14ac:dyDescent="0.2">
      <c r="A415" s="43" t="s">
        <v>451</v>
      </c>
      <c r="B415" s="46" t="s">
        <v>21</v>
      </c>
      <c r="C415" s="44" t="s">
        <v>107</v>
      </c>
      <c r="D415" s="47">
        <v>4160</v>
      </c>
      <c r="E415" s="46" t="s">
        <v>477</v>
      </c>
      <c r="F415" s="35">
        <v>34500</v>
      </c>
      <c r="G415" s="40">
        <v>72000</v>
      </c>
      <c r="H415" s="35">
        <f>27500+34500</f>
        <v>62000</v>
      </c>
      <c r="I415" s="35">
        <f t="shared" si="12"/>
        <v>134000</v>
      </c>
      <c r="J415" s="36">
        <f t="shared" si="13"/>
        <v>0.86111111111111116</v>
      </c>
      <c r="K415" s="48" t="s">
        <v>37</v>
      </c>
      <c r="L415" s="48" t="s">
        <v>37</v>
      </c>
      <c r="M415" s="38">
        <v>41274</v>
      </c>
      <c r="N415" s="48" t="s">
        <v>36</v>
      </c>
      <c r="O415" s="41">
        <v>34500</v>
      </c>
      <c r="P415" s="41"/>
      <c r="Q415" s="41"/>
    </row>
    <row r="416" spans="1:17" s="15" customFormat="1" ht="26.25" customHeight="1" x14ac:dyDescent="0.2">
      <c r="A416" s="43" t="s">
        <v>768</v>
      </c>
      <c r="B416" s="46" t="s">
        <v>21</v>
      </c>
      <c r="C416" s="44" t="s">
        <v>107</v>
      </c>
      <c r="D416" s="34">
        <v>4967</v>
      </c>
      <c r="E416" s="46" t="s">
        <v>477</v>
      </c>
      <c r="F416" s="35">
        <v>30000</v>
      </c>
      <c r="G416" s="40">
        <v>72000</v>
      </c>
      <c r="H416" s="35">
        <f>27500+34500+30000</f>
        <v>92000</v>
      </c>
      <c r="I416" s="35">
        <f t="shared" si="12"/>
        <v>164000</v>
      </c>
      <c r="J416" s="36">
        <f t="shared" si="13"/>
        <v>1.2777777777777777</v>
      </c>
      <c r="K416" s="48" t="s">
        <v>37</v>
      </c>
      <c r="L416" s="48" t="s">
        <v>37</v>
      </c>
      <c r="M416" s="38">
        <v>41274</v>
      </c>
      <c r="N416" s="48" t="s">
        <v>36</v>
      </c>
      <c r="O416" s="35">
        <v>30000</v>
      </c>
      <c r="P416" s="35"/>
      <c r="Q416" s="35"/>
    </row>
    <row r="417" spans="1:17" s="15" customFormat="1" ht="26.25" customHeight="1" x14ac:dyDescent="0.2">
      <c r="A417" s="43" t="s">
        <v>1145</v>
      </c>
      <c r="B417" s="46" t="s">
        <v>21</v>
      </c>
      <c r="C417" s="44" t="s">
        <v>107</v>
      </c>
      <c r="D417" s="34">
        <v>5476</v>
      </c>
      <c r="E417" s="46" t="s">
        <v>477</v>
      </c>
      <c r="F417" s="35">
        <v>30000</v>
      </c>
      <c r="G417" s="40">
        <v>72000</v>
      </c>
      <c r="H417" s="35">
        <f>27500+34500+30000+30000</f>
        <v>122000</v>
      </c>
      <c r="I417" s="35">
        <f t="shared" si="12"/>
        <v>194000</v>
      </c>
      <c r="J417" s="36">
        <f t="shared" si="13"/>
        <v>1.6944444444444444</v>
      </c>
      <c r="K417" s="48" t="s">
        <v>37</v>
      </c>
      <c r="L417" s="48" t="s">
        <v>37</v>
      </c>
      <c r="M417" s="38">
        <v>41362</v>
      </c>
      <c r="N417" s="48" t="s">
        <v>36</v>
      </c>
      <c r="O417" s="35">
        <v>30000</v>
      </c>
      <c r="P417" s="35"/>
      <c r="Q417" s="35"/>
    </row>
    <row r="418" spans="1:17" s="15" customFormat="1" ht="26.25" customHeight="1" x14ac:dyDescent="0.2">
      <c r="A418" s="43" t="s">
        <v>615</v>
      </c>
      <c r="B418" s="46" t="s">
        <v>39</v>
      </c>
      <c r="C418" s="44" t="s">
        <v>623</v>
      </c>
      <c r="D418" s="34">
        <v>4666</v>
      </c>
      <c r="E418" s="46" t="s">
        <v>633</v>
      </c>
      <c r="F418" s="35">
        <v>99000</v>
      </c>
      <c r="G418" s="40">
        <v>99000</v>
      </c>
      <c r="H418" s="35">
        <v>0</v>
      </c>
      <c r="I418" s="35">
        <f t="shared" si="12"/>
        <v>99000</v>
      </c>
      <c r="J418" s="36">
        <f t="shared" si="13"/>
        <v>0</v>
      </c>
      <c r="K418" s="48" t="s">
        <v>37</v>
      </c>
      <c r="L418" s="48" t="s">
        <v>37</v>
      </c>
      <c r="M418" s="38">
        <v>41455</v>
      </c>
      <c r="N418" s="37"/>
      <c r="O418" s="35">
        <v>99000</v>
      </c>
      <c r="P418" s="35"/>
      <c r="Q418" s="35"/>
    </row>
    <row r="419" spans="1:17" s="15" customFormat="1" ht="26.25" customHeight="1" x14ac:dyDescent="0.2">
      <c r="A419" s="43" t="s">
        <v>1279</v>
      </c>
      <c r="B419" s="46" t="s">
        <v>39</v>
      </c>
      <c r="C419" s="44" t="s">
        <v>623</v>
      </c>
      <c r="D419" s="47">
        <v>5572</v>
      </c>
      <c r="E419" s="46" t="s">
        <v>1281</v>
      </c>
      <c r="F419" s="35">
        <v>75150</v>
      </c>
      <c r="G419" s="40">
        <v>75150</v>
      </c>
      <c r="H419" s="35">
        <v>0</v>
      </c>
      <c r="I419" s="35">
        <f t="shared" si="12"/>
        <v>75150</v>
      </c>
      <c r="J419" s="36">
        <f t="shared" si="13"/>
        <v>0</v>
      </c>
      <c r="K419" s="48" t="s">
        <v>37</v>
      </c>
      <c r="L419" s="48" t="s">
        <v>37</v>
      </c>
      <c r="M419" s="38">
        <v>41455</v>
      </c>
      <c r="N419" s="48"/>
      <c r="O419" s="35">
        <v>75150</v>
      </c>
      <c r="P419" s="35"/>
      <c r="Q419" s="35"/>
    </row>
    <row r="420" spans="1:17" s="15" customFormat="1" ht="26.25" customHeight="1" x14ac:dyDescent="0.2">
      <c r="A420" s="43" t="s">
        <v>492</v>
      </c>
      <c r="B420" s="46" t="s">
        <v>39</v>
      </c>
      <c r="C420" s="44" t="s">
        <v>503</v>
      </c>
      <c r="D420" s="47">
        <v>4396</v>
      </c>
      <c r="E420" s="46" t="s">
        <v>519</v>
      </c>
      <c r="F420" s="35">
        <f>10985*3</f>
        <v>32955</v>
      </c>
      <c r="G420" s="40">
        <f>10985*3</f>
        <v>32955</v>
      </c>
      <c r="H420" s="35">
        <v>0</v>
      </c>
      <c r="I420" s="35">
        <f t="shared" si="12"/>
        <v>32955</v>
      </c>
      <c r="J420" s="36">
        <f t="shared" si="13"/>
        <v>0</v>
      </c>
      <c r="K420" s="48" t="s">
        <v>37</v>
      </c>
      <c r="L420" s="48" t="s">
        <v>37</v>
      </c>
      <c r="M420" s="38">
        <v>41547</v>
      </c>
      <c r="N420" s="48" t="s">
        <v>64</v>
      </c>
      <c r="O420" s="41">
        <v>10985</v>
      </c>
      <c r="P420" s="41">
        <v>10985</v>
      </c>
      <c r="Q420" s="41">
        <v>10985</v>
      </c>
    </row>
    <row r="421" spans="1:17" s="15" customFormat="1" ht="26.25" customHeight="1" x14ac:dyDescent="0.2">
      <c r="A421" s="43" t="s">
        <v>815</v>
      </c>
      <c r="B421" s="46" t="s">
        <v>17</v>
      </c>
      <c r="C421" s="44" t="s">
        <v>839</v>
      </c>
      <c r="D421" s="34">
        <v>4110</v>
      </c>
      <c r="E421" s="46" t="s">
        <v>859</v>
      </c>
      <c r="F421" s="35">
        <f>33000*3</f>
        <v>99000</v>
      </c>
      <c r="G421" s="40">
        <f>33000*3</f>
        <v>99000</v>
      </c>
      <c r="H421" s="35">
        <v>0</v>
      </c>
      <c r="I421" s="35">
        <f t="shared" si="12"/>
        <v>99000</v>
      </c>
      <c r="J421" s="36">
        <f t="shared" si="13"/>
        <v>0</v>
      </c>
      <c r="K421" s="48" t="s">
        <v>37</v>
      </c>
      <c r="L421" s="48" t="s">
        <v>37</v>
      </c>
      <c r="M421" s="38">
        <v>41455</v>
      </c>
      <c r="N421" s="48" t="s">
        <v>64</v>
      </c>
      <c r="O421" s="35">
        <v>33000</v>
      </c>
      <c r="P421" s="35">
        <v>33000</v>
      </c>
      <c r="Q421" s="35">
        <v>33000</v>
      </c>
    </row>
    <row r="422" spans="1:17" s="15" customFormat="1" ht="26.25" customHeight="1" x14ac:dyDescent="0.2">
      <c r="A422" s="43" t="s">
        <v>1038</v>
      </c>
      <c r="B422" s="46" t="s">
        <v>17</v>
      </c>
      <c r="C422" s="44" t="s">
        <v>839</v>
      </c>
      <c r="D422" s="34">
        <v>4851</v>
      </c>
      <c r="E422" s="46" t="s">
        <v>1045</v>
      </c>
      <c r="F422" s="35">
        <f>33000*3</f>
        <v>99000</v>
      </c>
      <c r="G422" s="40">
        <v>33000</v>
      </c>
      <c r="H422" s="35">
        <f>33000*3</f>
        <v>99000</v>
      </c>
      <c r="I422" s="35">
        <f t="shared" si="12"/>
        <v>132000</v>
      </c>
      <c r="J422" s="36">
        <f t="shared" si="13"/>
        <v>3</v>
      </c>
      <c r="K422" s="48" t="s">
        <v>37</v>
      </c>
      <c r="L422" s="48" t="s">
        <v>37</v>
      </c>
      <c r="M422" s="38">
        <v>41455</v>
      </c>
      <c r="N422" s="48" t="s">
        <v>64</v>
      </c>
      <c r="O422" s="35">
        <v>33000</v>
      </c>
      <c r="P422" s="35">
        <v>33000</v>
      </c>
      <c r="Q422" s="35">
        <v>33000</v>
      </c>
    </row>
    <row r="423" spans="1:17" s="15" customFormat="1" ht="26.25" customHeight="1" x14ac:dyDescent="0.2">
      <c r="A423" s="43" t="s">
        <v>542</v>
      </c>
      <c r="B423" s="46" t="s">
        <v>551</v>
      </c>
      <c r="C423" s="44" t="s">
        <v>94</v>
      </c>
      <c r="D423" s="47">
        <v>4179</v>
      </c>
      <c r="E423" s="46" t="s">
        <v>572</v>
      </c>
      <c r="F423" s="35">
        <f>30000*3</f>
        <v>90000</v>
      </c>
      <c r="G423" s="40">
        <f>30000*3</f>
        <v>90000</v>
      </c>
      <c r="H423" s="35">
        <v>0</v>
      </c>
      <c r="I423" s="35">
        <f t="shared" si="12"/>
        <v>90000</v>
      </c>
      <c r="J423" s="36">
        <f t="shared" si="13"/>
        <v>0</v>
      </c>
      <c r="K423" s="48" t="s">
        <v>37</v>
      </c>
      <c r="L423" s="48" t="s">
        <v>37</v>
      </c>
      <c r="M423" s="38">
        <v>41455</v>
      </c>
      <c r="N423" s="48" t="s">
        <v>64</v>
      </c>
      <c r="O423" s="41">
        <v>30000</v>
      </c>
      <c r="P423" s="41">
        <v>30000</v>
      </c>
      <c r="Q423" s="41">
        <v>30000</v>
      </c>
    </row>
    <row r="424" spans="1:17" s="15" customFormat="1" ht="26.25" customHeight="1" x14ac:dyDescent="0.2">
      <c r="A424" s="43" t="s">
        <v>535</v>
      </c>
      <c r="B424" s="46" t="s">
        <v>26</v>
      </c>
      <c r="C424" s="44" t="s">
        <v>102</v>
      </c>
      <c r="D424" s="47">
        <v>4522</v>
      </c>
      <c r="E424" s="46" t="s">
        <v>566</v>
      </c>
      <c r="F424" s="35">
        <v>10542</v>
      </c>
      <c r="G424" s="40">
        <v>10542</v>
      </c>
      <c r="H424" s="35">
        <v>0</v>
      </c>
      <c r="I424" s="35">
        <f t="shared" si="12"/>
        <v>10542</v>
      </c>
      <c r="J424" s="36">
        <f t="shared" si="13"/>
        <v>0</v>
      </c>
      <c r="K424" s="48" t="s">
        <v>37</v>
      </c>
      <c r="L424" s="48" t="s">
        <v>37</v>
      </c>
      <c r="M424" s="38">
        <v>41090</v>
      </c>
      <c r="N424" s="48"/>
      <c r="O424" s="41">
        <v>10542</v>
      </c>
      <c r="P424" s="41"/>
      <c r="Q424" s="41"/>
    </row>
    <row r="425" spans="1:17" s="15" customFormat="1" ht="38.25" customHeight="1" x14ac:dyDescent="0.2">
      <c r="A425" s="43" t="s">
        <v>1420</v>
      </c>
      <c r="B425" s="46" t="s">
        <v>50</v>
      </c>
      <c r="C425" s="44" t="s">
        <v>1423</v>
      </c>
      <c r="D425" s="47" t="s">
        <v>41</v>
      </c>
      <c r="E425" s="46" t="s">
        <v>1426</v>
      </c>
      <c r="F425" s="35">
        <v>31000</v>
      </c>
      <c r="G425" s="40">
        <v>31000</v>
      </c>
      <c r="H425" s="35">
        <v>0</v>
      </c>
      <c r="I425" s="35">
        <f t="shared" si="12"/>
        <v>31000</v>
      </c>
      <c r="J425" s="36">
        <f t="shared" si="13"/>
        <v>0</v>
      </c>
      <c r="K425" s="48" t="s">
        <v>37</v>
      </c>
      <c r="L425" s="48" t="s">
        <v>37</v>
      </c>
      <c r="M425" s="38">
        <v>41458</v>
      </c>
      <c r="N425" s="48"/>
      <c r="O425" s="35">
        <v>31000</v>
      </c>
      <c r="P425" s="35"/>
      <c r="Q425" s="35"/>
    </row>
    <row r="426" spans="1:17" s="15" customFormat="1" ht="26.25" customHeight="1" x14ac:dyDescent="0.2">
      <c r="A426" s="43" t="s">
        <v>1049</v>
      </c>
      <c r="B426" s="46" t="s">
        <v>17</v>
      </c>
      <c r="C426" s="44" t="s">
        <v>1054</v>
      </c>
      <c r="D426" s="34">
        <v>5294</v>
      </c>
      <c r="E426" s="46" t="s">
        <v>1056</v>
      </c>
      <c r="F426" s="35">
        <f>16332*3</f>
        <v>48996</v>
      </c>
      <c r="G426" s="40">
        <f>16332*3</f>
        <v>48996</v>
      </c>
      <c r="H426" s="35">
        <v>0</v>
      </c>
      <c r="I426" s="35">
        <f t="shared" si="12"/>
        <v>48996</v>
      </c>
      <c r="J426" s="36">
        <f t="shared" si="13"/>
        <v>0</v>
      </c>
      <c r="K426" s="48" t="s">
        <v>37</v>
      </c>
      <c r="L426" s="48" t="s">
        <v>37</v>
      </c>
      <c r="M426" s="38">
        <v>41726</v>
      </c>
      <c r="N426" s="48" t="s">
        <v>64</v>
      </c>
      <c r="O426" s="35">
        <v>16332</v>
      </c>
      <c r="P426" s="35">
        <v>16332</v>
      </c>
      <c r="Q426" s="35">
        <v>16332</v>
      </c>
    </row>
    <row r="427" spans="1:17" s="15" customFormat="1" ht="26.25" customHeight="1" x14ac:dyDescent="0.2">
      <c r="A427" s="43" t="s">
        <v>486</v>
      </c>
      <c r="B427" s="46" t="s">
        <v>46</v>
      </c>
      <c r="C427" s="44" t="s">
        <v>113</v>
      </c>
      <c r="D427" s="47">
        <v>4411</v>
      </c>
      <c r="E427" s="46" t="s">
        <v>512</v>
      </c>
      <c r="F427" s="35">
        <f>49000*3</f>
        <v>147000</v>
      </c>
      <c r="G427" s="40">
        <f>49000*3</f>
        <v>147000</v>
      </c>
      <c r="H427" s="35">
        <v>0</v>
      </c>
      <c r="I427" s="35">
        <f t="shared" si="12"/>
        <v>147000</v>
      </c>
      <c r="J427" s="36">
        <f t="shared" si="13"/>
        <v>0</v>
      </c>
      <c r="K427" s="48" t="s">
        <v>37</v>
      </c>
      <c r="L427" s="48" t="s">
        <v>37</v>
      </c>
      <c r="M427" s="38">
        <v>41455</v>
      </c>
      <c r="N427" s="48" t="s">
        <v>64</v>
      </c>
      <c r="O427" s="41">
        <v>49000</v>
      </c>
      <c r="P427" s="41">
        <v>49000</v>
      </c>
      <c r="Q427" s="41">
        <v>49000</v>
      </c>
    </row>
    <row r="428" spans="1:17" s="15" customFormat="1" ht="26.25" customHeight="1" x14ac:dyDescent="0.2">
      <c r="A428" s="43" t="s">
        <v>609</v>
      </c>
      <c r="B428" s="46" t="s">
        <v>39</v>
      </c>
      <c r="C428" s="44" t="s">
        <v>106</v>
      </c>
      <c r="D428" s="34">
        <v>4627</v>
      </c>
      <c r="E428" s="46" t="s">
        <v>626</v>
      </c>
      <c r="F428" s="35">
        <v>75000</v>
      </c>
      <c r="G428" s="40">
        <v>75000</v>
      </c>
      <c r="H428" s="35">
        <v>0</v>
      </c>
      <c r="I428" s="35">
        <f t="shared" si="12"/>
        <v>75000</v>
      </c>
      <c r="J428" s="36">
        <f t="shared" si="13"/>
        <v>0</v>
      </c>
      <c r="K428" s="48" t="s">
        <v>37</v>
      </c>
      <c r="L428" s="48" t="s">
        <v>37</v>
      </c>
      <c r="M428" s="38">
        <v>41455</v>
      </c>
      <c r="N428" s="48"/>
      <c r="O428" s="35">
        <v>75000</v>
      </c>
      <c r="P428" s="35"/>
      <c r="Q428" s="35"/>
    </row>
    <row r="429" spans="1:17" s="15" customFormat="1" ht="26.25" customHeight="1" x14ac:dyDescent="0.2">
      <c r="A429" s="43" t="s">
        <v>480</v>
      </c>
      <c r="B429" s="46" t="s">
        <v>40</v>
      </c>
      <c r="C429" s="44" t="s">
        <v>495</v>
      </c>
      <c r="D429" s="47">
        <v>4393</v>
      </c>
      <c r="E429" s="46" t="s">
        <v>506</v>
      </c>
      <c r="F429" s="35">
        <f>33000*3</f>
        <v>99000</v>
      </c>
      <c r="G429" s="40">
        <f>33000*3</f>
        <v>99000</v>
      </c>
      <c r="H429" s="35">
        <v>0</v>
      </c>
      <c r="I429" s="35">
        <f t="shared" si="12"/>
        <v>99000</v>
      </c>
      <c r="J429" s="36">
        <f t="shared" si="13"/>
        <v>0</v>
      </c>
      <c r="K429" s="48" t="s">
        <v>37</v>
      </c>
      <c r="L429" s="48" t="s">
        <v>37</v>
      </c>
      <c r="M429" s="38">
        <v>41455</v>
      </c>
      <c r="N429" s="48" t="s">
        <v>64</v>
      </c>
      <c r="O429" s="41">
        <v>33000</v>
      </c>
      <c r="P429" s="41">
        <v>33000</v>
      </c>
      <c r="Q429" s="41">
        <v>33000</v>
      </c>
    </row>
    <row r="430" spans="1:17" s="15" customFormat="1" ht="26.25" customHeight="1" x14ac:dyDescent="0.2">
      <c r="A430" s="43" t="s">
        <v>744</v>
      </c>
      <c r="B430" s="46" t="s">
        <v>39</v>
      </c>
      <c r="C430" s="44" t="s">
        <v>762</v>
      </c>
      <c r="D430" s="34">
        <v>4885</v>
      </c>
      <c r="E430" s="46" t="s">
        <v>756</v>
      </c>
      <c r="F430" s="35">
        <f>6100*3</f>
        <v>18300</v>
      </c>
      <c r="G430" s="40">
        <f>6100*3</f>
        <v>18300</v>
      </c>
      <c r="H430" s="35">
        <v>0</v>
      </c>
      <c r="I430" s="35">
        <f t="shared" si="12"/>
        <v>18300</v>
      </c>
      <c r="J430" s="36">
        <f t="shared" si="13"/>
        <v>0</v>
      </c>
      <c r="K430" s="48" t="s">
        <v>37</v>
      </c>
      <c r="L430" s="48" t="s">
        <v>37</v>
      </c>
      <c r="M430" s="38">
        <v>41547</v>
      </c>
      <c r="N430" s="48" t="s">
        <v>64</v>
      </c>
      <c r="O430" s="35">
        <v>6100</v>
      </c>
      <c r="P430" s="35">
        <v>6100</v>
      </c>
      <c r="Q430" s="35">
        <v>6100</v>
      </c>
    </row>
    <row r="431" spans="1:17" s="15" customFormat="1" ht="26.25" customHeight="1" x14ac:dyDescent="0.2">
      <c r="A431" s="43" t="s">
        <v>802</v>
      </c>
      <c r="B431" s="46" t="s">
        <v>825</v>
      </c>
      <c r="C431" s="44" t="s">
        <v>826</v>
      </c>
      <c r="D431" s="34">
        <v>4065</v>
      </c>
      <c r="E431" s="46" t="s">
        <v>848</v>
      </c>
      <c r="F431" s="35">
        <f>35000*3</f>
        <v>105000</v>
      </c>
      <c r="G431" s="40">
        <f>35000*3</f>
        <v>105000</v>
      </c>
      <c r="H431" s="35">
        <v>0</v>
      </c>
      <c r="I431" s="35">
        <f t="shared" si="12"/>
        <v>105000</v>
      </c>
      <c r="J431" s="36">
        <f t="shared" si="13"/>
        <v>0</v>
      </c>
      <c r="K431" s="48" t="s">
        <v>37</v>
      </c>
      <c r="L431" s="48" t="s">
        <v>37</v>
      </c>
      <c r="M431" s="38">
        <v>41455</v>
      </c>
      <c r="N431" s="48" t="s">
        <v>64</v>
      </c>
      <c r="O431" s="35">
        <v>35000</v>
      </c>
      <c r="P431" s="35">
        <v>35000</v>
      </c>
      <c r="Q431" s="35">
        <v>35000</v>
      </c>
    </row>
    <row r="432" spans="1:17" s="15" customFormat="1" ht="18" customHeight="1" x14ac:dyDescent="0.2">
      <c r="A432" s="43" t="s">
        <v>893</v>
      </c>
      <c r="B432" s="46" t="s">
        <v>20</v>
      </c>
      <c r="C432" s="44" t="s">
        <v>904</v>
      </c>
      <c r="D432" s="34">
        <v>5040</v>
      </c>
      <c r="E432" s="46" t="s">
        <v>909</v>
      </c>
      <c r="F432" s="35">
        <f>23000*3</f>
        <v>69000</v>
      </c>
      <c r="G432" s="40">
        <f>23000*3</f>
        <v>69000</v>
      </c>
      <c r="H432" s="35">
        <v>0</v>
      </c>
      <c r="I432" s="35">
        <f t="shared" si="12"/>
        <v>69000</v>
      </c>
      <c r="J432" s="36">
        <f t="shared" si="13"/>
        <v>0</v>
      </c>
      <c r="K432" s="48" t="s">
        <v>37</v>
      </c>
      <c r="L432" s="48" t="s">
        <v>42</v>
      </c>
      <c r="M432" s="38">
        <v>41609</v>
      </c>
      <c r="N432" s="48" t="s">
        <v>64</v>
      </c>
      <c r="O432" s="35">
        <v>23000</v>
      </c>
      <c r="P432" s="35">
        <v>23000</v>
      </c>
      <c r="Q432" s="35">
        <v>23000</v>
      </c>
    </row>
    <row r="433" spans="1:17" s="15" customFormat="1" ht="26.25" customHeight="1" x14ac:dyDescent="0.2">
      <c r="A433" s="43" t="s">
        <v>612</v>
      </c>
      <c r="B433" s="46" t="s">
        <v>39</v>
      </c>
      <c r="C433" s="44" t="s">
        <v>123</v>
      </c>
      <c r="D433" s="34">
        <v>4664</v>
      </c>
      <c r="E433" s="46" t="s">
        <v>631</v>
      </c>
      <c r="F433" s="35">
        <v>99000</v>
      </c>
      <c r="G433" s="40">
        <v>99000</v>
      </c>
      <c r="H433" s="35">
        <v>0</v>
      </c>
      <c r="I433" s="35">
        <f t="shared" si="12"/>
        <v>99000</v>
      </c>
      <c r="J433" s="36">
        <f t="shared" si="13"/>
        <v>0</v>
      </c>
      <c r="K433" s="48" t="s">
        <v>37</v>
      </c>
      <c r="L433" s="48" t="s">
        <v>37</v>
      </c>
      <c r="M433" s="38">
        <v>41455</v>
      </c>
      <c r="N433" s="48"/>
      <c r="O433" s="35">
        <v>99000</v>
      </c>
      <c r="P433" s="35"/>
      <c r="Q433" s="35"/>
    </row>
    <row r="434" spans="1:17" s="15" customFormat="1" ht="26.25" customHeight="1" x14ac:dyDescent="0.2">
      <c r="A434" s="43" t="s">
        <v>765</v>
      </c>
      <c r="B434" s="46" t="s">
        <v>39</v>
      </c>
      <c r="C434" s="44" t="s">
        <v>123</v>
      </c>
      <c r="D434" s="34">
        <v>4874</v>
      </c>
      <c r="E434" s="46" t="s">
        <v>779</v>
      </c>
      <c r="F434" s="35">
        <v>50000</v>
      </c>
      <c r="G434" s="40">
        <v>50000</v>
      </c>
      <c r="H434" s="35">
        <v>0</v>
      </c>
      <c r="I434" s="35">
        <f t="shared" si="12"/>
        <v>50000</v>
      </c>
      <c r="J434" s="36">
        <f t="shared" si="13"/>
        <v>0</v>
      </c>
      <c r="K434" s="48" t="s">
        <v>37</v>
      </c>
      <c r="L434" s="48" t="s">
        <v>37</v>
      </c>
      <c r="M434" s="38">
        <v>41455</v>
      </c>
      <c r="N434" s="37"/>
      <c r="O434" s="35">
        <v>50000</v>
      </c>
      <c r="P434" s="35"/>
      <c r="Q434" s="35"/>
    </row>
    <row r="435" spans="1:17" s="15" customFormat="1" ht="26.25" customHeight="1" x14ac:dyDescent="0.2">
      <c r="A435" s="43" t="s">
        <v>777</v>
      </c>
      <c r="B435" s="46" t="s">
        <v>49</v>
      </c>
      <c r="C435" s="44" t="s">
        <v>123</v>
      </c>
      <c r="D435" s="34">
        <v>4990</v>
      </c>
      <c r="E435" s="46" t="s">
        <v>788</v>
      </c>
      <c r="F435" s="35">
        <v>95000</v>
      </c>
      <c r="G435" s="40">
        <v>95000</v>
      </c>
      <c r="H435" s="35">
        <v>0</v>
      </c>
      <c r="I435" s="35">
        <f t="shared" si="12"/>
        <v>95000</v>
      </c>
      <c r="J435" s="36">
        <f t="shared" si="13"/>
        <v>0</v>
      </c>
      <c r="K435" s="48" t="s">
        <v>37</v>
      </c>
      <c r="L435" s="48" t="s">
        <v>42</v>
      </c>
      <c r="M435" s="38">
        <v>41455</v>
      </c>
      <c r="N435" s="37"/>
      <c r="O435" s="35">
        <v>95000</v>
      </c>
      <c r="P435" s="35"/>
      <c r="Q435" s="35"/>
    </row>
    <row r="436" spans="1:17" s="15" customFormat="1" ht="38.25" customHeight="1" x14ac:dyDescent="0.2">
      <c r="A436" s="43" t="s">
        <v>538</v>
      </c>
      <c r="B436" s="46" t="s">
        <v>551</v>
      </c>
      <c r="C436" s="44" t="s">
        <v>553</v>
      </c>
      <c r="D436" s="47">
        <v>4185</v>
      </c>
      <c r="E436" s="46" t="s">
        <v>569</v>
      </c>
      <c r="F436" s="35">
        <f>22000*3</f>
        <v>66000</v>
      </c>
      <c r="G436" s="40">
        <f>22000*3</f>
        <v>66000</v>
      </c>
      <c r="H436" s="35">
        <v>0</v>
      </c>
      <c r="I436" s="35">
        <f t="shared" si="12"/>
        <v>66000</v>
      </c>
      <c r="J436" s="36">
        <f t="shared" si="13"/>
        <v>0</v>
      </c>
      <c r="K436" s="48" t="s">
        <v>37</v>
      </c>
      <c r="L436" s="48" t="s">
        <v>37</v>
      </c>
      <c r="M436" s="38">
        <v>41455</v>
      </c>
      <c r="N436" s="48" t="s">
        <v>64</v>
      </c>
      <c r="O436" s="41">
        <v>22000</v>
      </c>
      <c r="P436" s="41">
        <v>22000</v>
      </c>
      <c r="Q436" s="41">
        <v>22000</v>
      </c>
    </row>
    <row r="437" spans="1:17" s="15" customFormat="1" ht="26.25" customHeight="1" x14ac:dyDescent="0.2">
      <c r="A437" s="43" t="s">
        <v>493</v>
      </c>
      <c r="B437" s="46" t="s">
        <v>72</v>
      </c>
      <c r="C437" s="44" t="s">
        <v>73</v>
      </c>
      <c r="D437" s="47">
        <v>4415</v>
      </c>
      <c r="E437" s="46" t="s">
        <v>518</v>
      </c>
      <c r="F437" s="35">
        <v>48000</v>
      </c>
      <c r="G437" s="40">
        <v>48000</v>
      </c>
      <c r="H437" s="35">
        <v>0</v>
      </c>
      <c r="I437" s="35">
        <f t="shared" si="12"/>
        <v>48000</v>
      </c>
      <c r="J437" s="36">
        <f t="shared" si="13"/>
        <v>0</v>
      </c>
      <c r="K437" s="48" t="s">
        <v>37</v>
      </c>
      <c r="L437" s="48" t="s">
        <v>37</v>
      </c>
      <c r="M437" s="38">
        <v>41305</v>
      </c>
      <c r="N437" s="48"/>
      <c r="O437" s="41">
        <v>48000</v>
      </c>
      <c r="P437" s="41"/>
      <c r="Q437" s="41"/>
    </row>
    <row r="438" spans="1:17" s="15" customFormat="1" ht="26.25" customHeight="1" x14ac:dyDescent="0.2">
      <c r="A438" s="43" t="s">
        <v>898</v>
      </c>
      <c r="B438" s="46" t="s">
        <v>46</v>
      </c>
      <c r="C438" s="44" t="s">
        <v>907</v>
      </c>
      <c r="D438" s="34">
        <v>5080</v>
      </c>
      <c r="E438" s="46" t="s">
        <v>914</v>
      </c>
      <c r="F438" s="35">
        <v>16725</v>
      </c>
      <c r="G438" s="40">
        <v>16725</v>
      </c>
      <c r="H438" s="35">
        <v>0</v>
      </c>
      <c r="I438" s="35">
        <f t="shared" si="12"/>
        <v>16725</v>
      </c>
      <c r="J438" s="36">
        <f t="shared" si="13"/>
        <v>0</v>
      </c>
      <c r="K438" s="48" t="s">
        <v>37</v>
      </c>
      <c r="L438" s="48" t="s">
        <v>42</v>
      </c>
      <c r="M438" s="38">
        <v>41455</v>
      </c>
      <c r="N438" s="37"/>
      <c r="O438" s="35">
        <v>16725</v>
      </c>
      <c r="P438" s="35"/>
      <c r="Q438" s="35"/>
    </row>
    <row r="439" spans="1:17" s="15" customFormat="1" ht="26.25" customHeight="1" x14ac:dyDescent="0.2">
      <c r="A439" s="43" t="s">
        <v>1161</v>
      </c>
      <c r="B439" s="46" t="s">
        <v>76</v>
      </c>
      <c r="C439" s="44" t="s">
        <v>1163</v>
      </c>
      <c r="D439" s="34">
        <v>5588</v>
      </c>
      <c r="E439" s="46" t="s">
        <v>1170</v>
      </c>
      <c r="F439" s="35">
        <v>25000</v>
      </c>
      <c r="G439" s="40">
        <v>25000</v>
      </c>
      <c r="H439" s="35">
        <v>0</v>
      </c>
      <c r="I439" s="35">
        <f t="shared" si="12"/>
        <v>25000</v>
      </c>
      <c r="J439" s="36">
        <f t="shared" si="13"/>
        <v>0</v>
      </c>
      <c r="K439" s="48" t="s">
        <v>37</v>
      </c>
      <c r="L439" s="48" t="s">
        <v>37</v>
      </c>
      <c r="M439" s="38">
        <v>41713</v>
      </c>
      <c r="N439" s="48"/>
      <c r="O439" s="35">
        <v>25000</v>
      </c>
      <c r="P439" s="35"/>
      <c r="Q439" s="35"/>
    </row>
    <row r="440" spans="1:17" s="15" customFormat="1" ht="26.25" customHeight="1" x14ac:dyDescent="0.2">
      <c r="A440" s="43" t="s">
        <v>742</v>
      </c>
      <c r="B440" s="46" t="s">
        <v>39</v>
      </c>
      <c r="C440" s="44" t="s">
        <v>760</v>
      </c>
      <c r="D440" s="34">
        <v>4880</v>
      </c>
      <c r="E440" s="46" t="s">
        <v>753</v>
      </c>
      <c r="F440" s="35">
        <f>15000*3</f>
        <v>45000</v>
      </c>
      <c r="G440" s="40">
        <f>15000*3</f>
        <v>45000</v>
      </c>
      <c r="H440" s="35">
        <v>0</v>
      </c>
      <c r="I440" s="35">
        <f t="shared" si="12"/>
        <v>45000</v>
      </c>
      <c r="J440" s="36">
        <f t="shared" si="13"/>
        <v>0</v>
      </c>
      <c r="K440" s="48" t="s">
        <v>37</v>
      </c>
      <c r="L440" s="48" t="s">
        <v>37</v>
      </c>
      <c r="M440" s="38">
        <v>41455</v>
      </c>
      <c r="N440" s="48" t="s">
        <v>64</v>
      </c>
      <c r="O440" s="35">
        <v>15000</v>
      </c>
      <c r="P440" s="35">
        <v>15000</v>
      </c>
      <c r="Q440" s="35">
        <v>15000</v>
      </c>
    </row>
    <row r="441" spans="1:17" s="15" customFormat="1" ht="26.25" customHeight="1" x14ac:dyDescent="0.2">
      <c r="A441" s="43" t="s">
        <v>156</v>
      </c>
      <c r="B441" s="46" t="s">
        <v>17</v>
      </c>
      <c r="C441" s="44" t="s">
        <v>209</v>
      </c>
      <c r="D441" s="47">
        <v>3945</v>
      </c>
      <c r="E441" s="46" t="s">
        <v>184</v>
      </c>
      <c r="F441" s="35">
        <f>8000*3</f>
        <v>24000</v>
      </c>
      <c r="G441" s="40">
        <f>8000*3</f>
        <v>24000</v>
      </c>
      <c r="H441" s="35">
        <v>0</v>
      </c>
      <c r="I441" s="35">
        <f t="shared" si="12"/>
        <v>24000</v>
      </c>
      <c r="J441" s="36">
        <f t="shared" si="13"/>
        <v>0</v>
      </c>
      <c r="K441" s="48" t="s">
        <v>37</v>
      </c>
      <c r="L441" s="48" t="s">
        <v>37</v>
      </c>
      <c r="M441" s="38">
        <v>41455</v>
      </c>
      <c r="N441" s="48" t="s">
        <v>64</v>
      </c>
      <c r="O441" s="41">
        <v>8000</v>
      </c>
      <c r="P441" s="41">
        <v>8000</v>
      </c>
      <c r="Q441" s="41">
        <v>8000</v>
      </c>
    </row>
    <row r="442" spans="1:17" s="15" customFormat="1" ht="26.25" customHeight="1" x14ac:dyDescent="0.2">
      <c r="A442" s="43" t="s">
        <v>581</v>
      </c>
      <c r="B442" s="46" t="s">
        <v>26</v>
      </c>
      <c r="C442" s="44" t="s">
        <v>586</v>
      </c>
      <c r="D442" s="47" t="s">
        <v>41</v>
      </c>
      <c r="E442" s="46" t="s">
        <v>584</v>
      </c>
      <c r="F442" s="35">
        <v>20000</v>
      </c>
      <c r="G442" s="40">
        <v>20000</v>
      </c>
      <c r="H442" s="35">
        <v>0</v>
      </c>
      <c r="I442" s="35">
        <f t="shared" si="12"/>
        <v>20000</v>
      </c>
      <c r="J442" s="36">
        <f t="shared" si="13"/>
        <v>0</v>
      </c>
      <c r="K442" s="48" t="s">
        <v>37</v>
      </c>
      <c r="L442" s="48" t="s">
        <v>37</v>
      </c>
      <c r="M442" s="38">
        <v>41455</v>
      </c>
      <c r="N442" s="37"/>
      <c r="O442" s="41">
        <v>20000</v>
      </c>
      <c r="P442" s="35"/>
      <c r="Q442" s="35"/>
    </row>
    <row r="443" spans="1:17" s="15" customFormat="1" ht="26.25" customHeight="1" x14ac:dyDescent="0.2">
      <c r="A443" s="43" t="s">
        <v>582</v>
      </c>
      <c r="B443" s="46" t="s">
        <v>26</v>
      </c>
      <c r="C443" s="44" t="s">
        <v>586</v>
      </c>
      <c r="D443" s="47" t="s">
        <v>41</v>
      </c>
      <c r="E443" s="46" t="s">
        <v>585</v>
      </c>
      <c r="F443" s="35">
        <v>25000</v>
      </c>
      <c r="G443" s="40">
        <v>25000</v>
      </c>
      <c r="H443" s="35">
        <v>0</v>
      </c>
      <c r="I443" s="35">
        <f t="shared" si="12"/>
        <v>25000</v>
      </c>
      <c r="J443" s="36">
        <f t="shared" si="13"/>
        <v>0</v>
      </c>
      <c r="K443" s="48" t="s">
        <v>37</v>
      </c>
      <c r="L443" s="48" t="s">
        <v>37</v>
      </c>
      <c r="M443" s="38">
        <v>41455</v>
      </c>
      <c r="N443" s="37"/>
      <c r="O443" s="35">
        <v>25000</v>
      </c>
      <c r="P443" s="35"/>
      <c r="Q443" s="35"/>
    </row>
    <row r="444" spans="1:17" s="15" customFormat="1" ht="26.25" customHeight="1" x14ac:dyDescent="0.2">
      <c r="A444" s="43" t="s">
        <v>773</v>
      </c>
      <c r="B444" s="46" t="s">
        <v>26</v>
      </c>
      <c r="C444" s="44" t="s">
        <v>798</v>
      </c>
      <c r="D444" s="47" t="s">
        <v>41</v>
      </c>
      <c r="E444" s="46" t="s">
        <v>785</v>
      </c>
      <c r="F444" s="35">
        <v>99000</v>
      </c>
      <c r="G444" s="40">
        <v>99000</v>
      </c>
      <c r="H444" s="35">
        <v>0</v>
      </c>
      <c r="I444" s="35">
        <f t="shared" si="12"/>
        <v>99000</v>
      </c>
      <c r="J444" s="36">
        <f t="shared" si="13"/>
        <v>0</v>
      </c>
      <c r="K444" s="48" t="s">
        <v>37</v>
      </c>
      <c r="L444" s="48" t="s">
        <v>37</v>
      </c>
      <c r="M444" s="38">
        <v>41455</v>
      </c>
      <c r="N444" s="37"/>
      <c r="O444" s="35">
        <v>99000</v>
      </c>
      <c r="P444" s="35"/>
      <c r="Q444" s="35"/>
    </row>
    <row r="445" spans="1:17" s="15" customFormat="1" ht="26.25" customHeight="1" x14ac:dyDescent="0.2">
      <c r="A445" s="43" t="s">
        <v>1295</v>
      </c>
      <c r="B445" s="46" t="s">
        <v>18</v>
      </c>
      <c r="C445" s="44" t="s">
        <v>1300</v>
      </c>
      <c r="D445" s="47" t="s">
        <v>1308</v>
      </c>
      <c r="E445" s="46" t="s">
        <v>1314</v>
      </c>
      <c r="F445" s="35">
        <v>15000</v>
      </c>
      <c r="G445" s="40">
        <v>10000</v>
      </c>
      <c r="H445" s="35">
        <f>30000+15000</f>
        <v>45000</v>
      </c>
      <c r="I445" s="35">
        <f t="shared" si="12"/>
        <v>55000</v>
      </c>
      <c r="J445" s="36">
        <f t="shared" si="13"/>
        <v>4.5</v>
      </c>
      <c r="K445" s="48" t="s">
        <v>37</v>
      </c>
      <c r="L445" s="48" t="s">
        <v>37</v>
      </c>
      <c r="M445" s="52" t="s">
        <v>69</v>
      </c>
      <c r="N445" s="48" t="s">
        <v>36</v>
      </c>
      <c r="O445" s="35">
        <v>15000</v>
      </c>
      <c r="P445" s="35"/>
      <c r="Q445" s="35"/>
    </row>
    <row r="446" spans="1:17" s="15" customFormat="1" ht="26.25" customHeight="1" x14ac:dyDescent="0.2">
      <c r="A446" s="43" t="s">
        <v>1008</v>
      </c>
      <c r="B446" s="46" t="s">
        <v>18</v>
      </c>
      <c r="C446" s="44" t="s">
        <v>1013</v>
      </c>
      <c r="D446" s="34">
        <v>5187</v>
      </c>
      <c r="E446" s="46" t="s">
        <v>1018</v>
      </c>
      <c r="F446" s="35">
        <v>15000</v>
      </c>
      <c r="G446" s="40">
        <v>10000</v>
      </c>
      <c r="H446" s="35">
        <f>5000*3+15000</f>
        <v>30000</v>
      </c>
      <c r="I446" s="35">
        <f t="shared" si="12"/>
        <v>40000</v>
      </c>
      <c r="J446" s="36">
        <f t="shared" si="13"/>
        <v>3</v>
      </c>
      <c r="K446" s="48" t="s">
        <v>37</v>
      </c>
      <c r="L446" s="48" t="s">
        <v>37</v>
      </c>
      <c r="M446" s="52" t="s">
        <v>69</v>
      </c>
      <c r="N446" s="48" t="s">
        <v>36</v>
      </c>
      <c r="O446" s="35">
        <v>15000</v>
      </c>
      <c r="P446" s="35"/>
      <c r="Q446" s="35"/>
    </row>
    <row r="447" spans="1:17" s="15" customFormat="1" ht="26.25" customHeight="1" x14ac:dyDescent="0.2">
      <c r="A447" s="43" t="s">
        <v>442</v>
      </c>
      <c r="B447" s="46" t="s">
        <v>20</v>
      </c>
      <c r="C447" s="44" t="s">
        <v>456</v>
      </c>
      <c r="D447" s="47">
        <v>4325</v>
      </c>
      <c r="E447" s="46" t="s">
        <v>468</v>
      </c>
      <c r="F447" s="35">
        <f>12290*3</f>
        <v>36870</v>
      </c>
      <c r="G447" s="40">
        <f>12290*3</f>
        <v>36870</v>
      </c>
      <c r="H447" s="35">
        <v>0</v>
      </c>
      <c r="I447" s="35">
        <f t="shared" si="12"/>
        <v>36870</v>
      </c>
      <c r="J447" s="36">
        <f t="shared" si="13"/>
        <v>0</v>
      </c>
      <c r="K447" s="48" t="s">
        <v>37</v>
      </c>
      <c r="L447" s="48" t="s">
        <v>37</v>
      </c>
      <c r="M447" s="38">
        <v>41455</v>
      </c>
      <c r="N447" s="48" t="s">
        <v>64</v>
      </c>
      <c r="O447" s="41">
        <v>12290</v>
      </c>
      <c r="P447" s="41">
        <v>12290</v>
      </c>
      <c r="Q447" s="41">
        <v>12290</v>
      </c>
    </row>
    <row r="448" spans="1:17" s="15" customFormat="1" ht="26.25" customHeight="1" x14ac:dyDescent="0.2">
      <c r="A448" s="43" t="s">
        <v>1375</v>
      </c>
      <c r="B448" s="46" t="s">
        <v>1128</v>
      </c>
      <c r="C448" s="44" t="s">
        <v>1378</v>
      </c>
      <c r="D448" s="47" t="s">
        <v>1381</v>
      </c>
      <c r="E448" s="46" t="s">
        <v>1384</v>
      </c>
      <c r="F448" s="35">
        <v>13915</v>
      </c>
      <c r="G448" s="40">
        <v>13915</v>
      </c>
      <c r="H448" s="35">
        <v>0</v>
      </c>
      <c r="I448" s="35">
        <f t="shared" ref="I448:I487" si="14">G448+H448</f>
        <v>13915</v>
      </c>
      <c r="J448" s="36">
        <f t="shared" ref="J448:J487" si="15">IF(G448=0,100%,(I448-G448)/G448)</f>
        <v>0</v>
      </c>
      <c r="K448" s="48" t="s">
        <v>37</v>
      </c>
      <c r="L448" s="48" t="s">
        <v>37</v>
      </c>
      <c r="M448" s="38">
        <v>41455</v>
      </c>
      <c r="N448" s="48"/>
      <c r="O448" s="49">
        <v>13915</v>
      </c>
      <c r="P448" s="35"/>
      <c r="Q448" s="35"/>
    </row>
    <row r="449" spans="1:17" s="15" customFormat="1" ht="26.25" customHeight="1" x14ac:dyDescent="0.2">
      <c r="A449" s="43" t="s">
        <v>771</v>
      </c>
      <c r="B449" s="46" t="s">
        <v>17</v>
      </c>
      <c r="C449" s="44" t="s">
        <v>796</v>
      </c>
      <c r="D449" s="34">
        <v>4413</v>
      </c>
      <c r="E449" s="46" t="s">
        <v>783</v>
      </c>
      <c r="F449" s="35">
        <f>77000*3</f>
        <v>231000</v>
      </c>
      <c r="G449" s="40">
        <f>77000*3</f>
        <v>231000</v>
      </c>
      <c r="H449" s="35">
        <v>0</v>
      </c>
      <c r="I449" s="35">
        <f t="shared" si="14"/>
        <v>231000</v>
      </c>
      <c r="J449" s="36">
        <f t="shared" si="15"/>
        <v>0</v>
      </c>
      <c r="K449" s="48" t="s">
        <v>37</v>
      </c>
      <c r="L449" s="48" t="s">
        <v>37</v>
      </c>
      <c r="M449" s="38">
        <v>41455</v>
      </c>
      <c r="N449" s="48" t="s">
        <v>64</v>
      </c>
      <c r="O449" s="35">
        <v>77000</v>
      </c>
      <c r="P449" s="35">
        <v>77000</v>
      </c>
      <c r="Q449" s="35">
        <v>77000</v>
      </c>
    </row>
    <row r="450" spans="1:17" s="15" customFormat="1" ht="26.25" customHeight="1" x14ac:dyDescent="0.2">
      <c r="A450" s="43" t="s">
        <v>740</v>
      </c>
      <c r="B450" s="46" t="s">
        <v>17</v>
      </c>
      <c r="C450" s="44" t="s">
        <v>758</v>
      </c>
      <c r="D450" s="34">
        <v>4693</v>
      </c>
      <c r="E450" s="46" t="s">
        <v>751</v>
      </c>
      <c r="F450" s="35">
        <f>10000*3</f>
        <v>30000</v>
      </c>
      <c r="G450" s="40">
        <f>10000*3</f>
        <v>30000</v>
      </c>
      <c r="H450" s="35">
        <v>0</v>
      </c>
      <c r="I450" s="35">
        <f t="shared" si="14"/>
        <v>30000</v>
      </c>
      <c r="J450" s="36">
        <f t="shared" si="15"/>
        <v>0</v>
      </c>
      <c r="K450" s="48" t="s">
        <v>37</v>
      </c>
      <c r="L450" s="48" t="s">
        <v>37</v>
      </c>
      <c r="M450" s="38">
        <v>41455</v>
      </c>
      <c r="N450" s="48" t="s">
        <v>64</v>
      </c>
      <c r="O450" s="35">
        <v>10000</v>
      </c>
      <c r="P450" s="35">
        <v>10000</v>
      </c>
      <c r="Q450" s="35">
        <v>10000</v>
      </c>
    </row>
    <row r="451" spans="1:17" s="15" customFormat="1" ht="26.25" customHeight="1" x14ac:dyDescent="0.2">
      <c r="A451" s="43" t="s">
        <v>636</v>
      </c>
      <c r="B451" s="46" t="s">
        <v>17</v>
      </c>
      <c r="C451" s="44" t="s">
        <v>643</v>
      </c>
      <c r="D451" s="34">
        <v>4663</v>
      </c>
      <c r="E451" s="46" t="s">
        <v>648</v>
      </c>
      <c r="F451" s="35">
        <f>11000*3</f>
        <v>33000</v>
      </c>
      <c r="G451" s="40">
        <f>11000*3</f>
        <v>33000</v>
      </c>
      <c r="H451" s="35">
        <v>0</v>
      </c>
      <c r="I451" s="35">
        <f t="shared" si="14"/>
        <v>33000</v>
      </c>
      <c r="J451" s="36">
        <f t="shared" si="15"/>
        <v>0</v>
      </c>
      <c r="K451" s="48" t="s">
        <v>37</v>
      </c>
      <c r="L451" s="48" t="s">
        <v>37</v>
      </c>
      <c r="M451" s="38">
        <v>41455</v>
      </c>
      <c r="N451" s="48" t="s">
        <v>64</v>
      </c>
      <c r="O451" s="35">
        <v>11000</v>
      </c>
      <c r="P451" s="35">
        <v>11000</v>
      </c>
      <c r="Q451" s="35">
        <v>11000</v>
      </c>
    </row>
    <row r="452" spans="1:17" s="15" customFormat="1" ht="26.25" customHeight="1" x14ac:dyDescent="0.2">
      <c r="A452" s="43" t="s">
        <v>148</v>
      </c>
      <c r="B452" s="46" t="s">
        <v>20</v>
      </c>
      <c r="C452" s="44" t="s">
        <v>122</v>
      </c>
      <c r="D452" s="47">
        <v>3799</v>
      </c>
      <c r="E452" s="46" t="s">
        <v>177</v>
      </c>
      <c r="F452" s="35">
        <f>35000*3</f>
        <v>105000</v>
      </c>
      <c r="G452" s="40">
        <f>35000*3</f>
        <v>105000</v>
      </c>
      <c r="H452" s="35">
        <v>0</v>
      </c>
      <c r="I452" s="35">
        <f t="shared" si="14"/>
        <v>105000</v>
      </c>
      <c r="J452" s="36">
        <f t="shared" si="15"/>
        <v>0</v>
      </c>
      <c r="K452" s="48" t="s">
        <v>37</v>
      </c>
      <c r="L452" s="48" t="s">
        <v>37</v>
      </c>
      <c r="M452" s="38">
        <v>41455</v>
      </c>
      <c r="N452" s="48" t="s">
        <v>64</v>
      </c>
      <c r="O452" s="41">
        <v>35000</v>
      </c>
      <c r="P452" s="41">
        <v>35000</v>
      </c>
      <c r="Q452" s="41">
        <v>35000</v>
      </c>
    </row>
    <row r="453" spans="1:17" s="15" customFormat="1" ht="26.25" customHeight="1" x14ac:dyDescent="0.2">
      <c r="A453" s="43" t="s">
        <v>153</v>
      </c>
      <c r="B453" s="46" t="s">
        <v>20</v>
      </c>
      <c r="C453" s="44" t="s">
        <v>122</v>
      </c>
      <c r="D453" s="47">
        <v>3928</v>
      </c>
      <c r="E453" s="46" t="s">
        <v>181</v>
      </c>
      <c r="F453" s="35">
        <f>12000*3</f>
        <v>36000</v>
      </c>
      <c r="G453" s="40">
        <f>12000*3</f>
        <v>36000</v>
      </c>
      <c r="H453" s="35">
        <v>0</v>
      </c>
      <c r="I453" s="35">
        <f t="shared" si="14"/>
        <v>36000</v>
      </c>
      <c r="J453" s="36">
        <f t="shared" si="15"/>
        <v>0</v>
      </c>
      <c r="K453" s="48" t="s">
        <v>37</v>
      </c>
      <c r="L453" s="48" t="s">
        <v>37</v>
      </c>
      <c r="M453" s="38">
        <v>41455</v>
      </c>
      <c r="N453" s="48" t="s">
        <v>64</v>
      </c>
      <c r="O453" s="41">
        <v>12000</v>
      </c>
      <c r="P453" s="41">
        <v>12000</v>
      </c>
      <c r="Q453" s="41">
        <v>12000</v>
      </c>
    </row>
    <row r="454" spans="1:17" s="15" customFormat="1" ht="26.25" customHeight="1" x14ac:dyDescent="0.2">
      <c r="A454" s="43" t="s">
        <v>1246</v>
      </c>
      <c r="B454" s="46" t="s">
        <v>20</v>
      </c>
      <c r="C454" s="44" t="s">
        <v>122</v>
      </c>
      <c r="D454" s="47">
        <v>3795</v>
      </c>
      <c r="E454" s="46" t="s">
        <v>1237</v>
      </c>
      <c r="F454" s="35">
        <f>37500*3</f>
        <v>112500</v>
      </c>
      <c r="G454" s="40">
        <f>37500*3</f>
        <v>112500</v>
      </c>
      <c r="H454" s="35">
        <v>0</v>
      </c>
      <c r="I454" s="35">
        <f t="shared" si="14"/>
        <v>112500</v>
      </c>
      <c r="J454" s="36">
        <f t="shared" si="15"/>
        <v>0</v>
      </c>
      <c r="K454" s="48" t="s">
        <v>37</v>
      </c>
      <c r="L454" s="48" t="s">
        <v>37</v>
      </c>
      <c r="M454" s="38">
        <v>41455</v>
      </c>
      <c r="N454" s="48" t="s">
        <v>64</v>
      </c>
      <c r="O454" s="35">
        <v>37500</v>
      </c>
      <c r="P454" s="35">
        <v>37500</v>
      </c>
      <c r="Q454" s="35">
        <v>37500</v>
      </c>
    </row>
    <row r="455" spans="1:17" s="15" customFormat="1" ht="18" customHeight="1" x14ac:dyDescent="0.2">
      <c r="A455" s="43" t="s">
        <v>387</v>
      </c>
      <c r="B455" s="46" t="s">
        <v>40</v>
      </c>
      <c r="C455" s="44" t="s">
        <v>54</v>
      </c>
      <c r="D455" s="34">
        <v>4141</v>
      </c>
      <c r="E455" s="46" t="s">
        <v>44</v>
      </c>
      <c r="F455" s="35">
        <f>15000*3</f>
        <v>45000</v>
      </c>
      <c r="G455" s="40">
        <f>15000*3</f>
        <v>45000</v>
      </c>
      <c r="H455" s="35">
        <v>0</v>
      </c>
      <c r="I455" s="35">
        <f t="shared" si="14"/>
        <v>45000</v>
      </c>
      <c r="J455" s="36">
        <f t="shared" si="15"/>
        <v>0</v>
      </c>
      <c r="K455" s="48" t="s">
        <v>37</v>
      </c>
      <c r="L455" s="48" t="s">
        <v>37</v>
      </c>
      <c r="M455" s="38">
        <v>41455</v>
      </c>
      <c r="N455" s="48" t="s">
        <v>64</v>
      </c>
      <c r="O455" s="41">
        <v>15000</v>
      </c>
      <c r="P455" s="41">
        <v>15000</v>
      </c>
      <c r="Q455" s="41">
        <v>15000</v>
      </c>
    </row>
    <row r="456" spans="1:17" s="15" customFormat="1" ht="26.25" customHeight="1" x14ac:dyDescent="0.2">
      <c r="A456" s="43" t="s">
        <v>395</v>
      </c>
      <c r="B456" s="46" t="s">
        <v>92</v>
      </c>
      <c r="C456" s="44" t="s">
        <v>410</v>
      </c>
      <c r="D456" s="34">
        <v>3974</v>
      </c>
      <c r="E456" s="46" t="s">
        <v>426</v>
      </c>
      <c r="F456" s="35">
        <f>25000*3</f>
        <v>75000</v>
      </c>
      <c r="G456" s="40">
        <f>25000*3</f>
        <v>75000</v>
      </c>
      <c r="H456" s="35">
        <v>0</v>
      </c>
      <c r="I456" s="35">
        <f t="shared" si="14"/>
        <v>75000</v>
      </c>
      <c r="J456" s="36">
        <f t="shared" si="15"/>
        <v>0</v>
      </c>
      <c r="K456" s="48" t="s">
        <v>37</v>
      </c>
      <c r="L456" s="48" t="s">
        <v>37</v>
      </c>
      <c r="M456" s="38">
        <v>41455</v>
      </c>
      <c r="N456" s="48" t="s">
        <v>64</v>
      </c>
      <c r="O456" s="41">
        <v>25000</v>
      </c>
      <c r="P456" s="41">
        <v>25000</v>
      </c>
      <c r="Q456" s="41">
        <v>25000</v>
      </c>
    </row>
    <row r="457" spans="1:17" s="15" customFormat="1" ht="26.25" customHeight="1" x14ac:dyDescent="0.2">
      <c r="A457" s="43" t="s">
        <v>716</v>
      </c>
      <c r="B457" s="46" t="s">
        <v>65</v>
      </c>
      <c r="C457" s="44" t="s">
        <v>729</v>
      </c>
      <c r="D457" s="34">
        <v>4792</v>
      </c>
      <c r="E457" s="46" t="s">
        <v>725</v>
      </c>
      <c r="F457" s="35">
        <v>62910</v>
      </c>
      <c r="G457" s="40">
        <v>62910</v>
      </c>
      <c r="H457" s="35">
        <v>0</v>
      </c>
      <c r="I457" s="35">
        <f t="shared" si="14"/>
        <v>62910</v>
      </c>
      <c r="J457" s="36">
        <f t="shared" si="15"/>
        <v>0</v>
      </c>
      <c r="K457" s="48" t="s">
        <v>37</v>
      </c>
      <c r="L457" s="48" t="s">
        <v>37</v>
      </c>
      <c r="M457" s="38">
        <v>42277</v>
      </c>
      <c r="N457" s="37"/>
      <c r="O457" s="35">
        <v>62910</v>
      </c>
      <c r="P457" s="35"/>
      <c r="Q457" s="35"/>
    </row>
    <row r="458" spans="1:17" s="15" customFormat="1" ht="26.25" customHeight="1" x14ac:dyDescent="0.2">
      <c r="A458" s="43" t="s">
        <v>692</v>
      </c>
      <c r="B458" s="46" t="s">
        <v>76</v>
      </c>
      <c r="C458" s="44" t="s">
        <v>709</v>
      </c>
      <c r="D458" s="34">
        <v>4713</v>
      </c>
      <c r="E458" s="46" t="s">
        <v>701</v>
      </c>
      <c r="F458" s="35">
        <f>7500*3</f>
        <v>22500</v>
      </c>
      <c r="G458" s="40">
        <f>7500*3</f>
        <v>22500</v>
      </c>
      <c r="H458" s="35">
        <v>0</v>
      </c>
      <c r="I458" s="35">
        <f t="shared" si="14"/>
        <v>22500</v>
      </c>
      <c r="J458" s="36">
        <f t="shared" si="15"/>
        <v>0</v>
      </c>
      <c r="K458" s="48" t="s">
        <v>37</v>
      </c>
      <c r="L458" s="48" t="s">
        <v>37</v>
      </c>
      <c r="M458" s="38">
        <v>41455</v>
      </c>
      <c r="N458" s="48" t="s">
        <v>64</v>
      </c>
      <c r="O458" s="35">
        <v>7500</v>
      </c>
      <c r="P458" s="35">
        <v>7500</v>
      </c>
      <c r="Q458" s="35">
        <v>7500</v>
      </c>
    </row>
    <row r="459" spans="1:17" s="15" customFormat="1" ht="26.25" customHeight="1" x14ac:dyDescent="0.2">
      <c r="A459" s="43" t="s">
        <v>1366</v>
      </c>
      <c r="B459" s="46" t="s">
        <v>17</v>
      </c>
      <c r="C459" s="44" t="s">
        <v>1368</v>
      </c>
      <c r="D459" s="34">
        <v>6171</v>
      </c>
      <c r="E459" s="46" t="s">
        <v>1371</v>
      </c>
      <c r="F459" s="35">
        <v>77754</v>
      </c>
      <c r="G459" s="40">
        <v>77754</v>
      </c>
      <c r="H459" s="35">
        <v>0</v>
      </c>
      <c r="I459" s="35">
        <f t="shared" si="14"/>
        <v>77754</v>
      </c>
      <c r="J459" s="36">
        <f t="shared" si="15"/>
        <v>0</v>
      </c>
      <c r="K459" s="48" t="s">
        <v>37</v>
      </c>
      <c r="L459" s="48" t="s">
        <v>42</v>
      </c>
      <c r="M459" s="38">
        <v>41517</v>
      </c>
      <c r="N459" s="48"/>
      <c r="O459" s="49">
        <v>77754</v>
      </c>
      <c r="P459" s="35"/>
      <c r="Q459" s="35"/>
    </row>
    <row r="460" spans="1:17" s="15" customFormat="1" ht="26.25" customHeight="1" x14ac:dyDescent="0.2">
      <c r="A460" s="43" t="s">
        <v>1007</v>
      </c>
      <c r="B460" s="46" t="s">
        <v>76</v>
      </c>
      <c r="C460" s="44" t="s">
        <v>1012</v>
      </c>
      <c r="D460" s="34">
        <v>5138</v>
      </c>
      <c r="E460" s="46" t="s">
        <v>1017</v>
      </c>
      <c r="F460" s="35">
        <f>8550*3</f>
        <v>25650</v>
      </c>
      <c r="G460" s="40">
        <f>8550*3</f>
        <v>25650</v>
      </c>
      <c r="H460" s="35">
        <v>0</v>
      </c>
      <c r="I460" s="35">
        <f t="shared" si="14"/>
        <v>25650</v>
      </c>
      <c r="J460" s="36">
        <f t="shared" si="15"/>
        <v>0</v>
      </c>
      <c r="K460" s="48" t="s">
        <v>37</v>
      </c>
      <c r="L460" s="48" t="s">
        <v>42</v>
      </c>
      <c r="M460" s="38">
        <v>41670</v>
      </c>
      <c r="N460" s="48" t="s">
        <v>64</v>
      </c>
      <c r="O460" s="35">
        <v>8550</v>
      </c>
      <c r="P460" s="35">
        <v>8550</v>
      </c>
      <c r="Q460" s="35">
        <v>8550</v>
      </c>
    </row>
    <row r="461" spans="1:17" s="15" customFormat="1" ht="26.25" customHeight="1" x14ac:dyDescent="0.2">
      <c r="A461" s="43" t="s">
        <v>1293</v>
      </c>
      <c r="B461" s="46" t="s">
        <v>48</v>
      </c>
      <c r="C461" s="44" t="s">
        <v>1298</v>
      </c>
      <c r="D461" s="47">
        <v>5955</v>
      </c>
      <c r="E461" s="46" t="s">
        <v>1312</v>
      </c>
      <c r="F461" s="35">
        <v>20859</v>
      </c>
      <c r="G461" s="40">
        <v>20859</v>
      </c>
      <c r="H461" s="35">
        <v>0</v>
      </c>
      <c r="I461" s="35">
        <f t="shared" si="14"/>
        <v>20859</v>
      </c>
      <c r="J461" s="36">
        <f t="shared" si="15"/>
        <v>0</v>
      </c>
      <c r="K461" s="48" t="s">
        <v>37</v>
      </c>
      <c r="L461" s="48" t="s">
        <v>37</v>
      </c>
      <c r="M461" s="38">
        <v>41399</v>
      </c>
      <c r="N461" s="48"/>
      <c r="O461" s="35">
        <v>20859</v>
      </c>
      <c r="P461" s="35"/>
      <c r="Q461" s="35"/>
    </row>
    <row r="462" spans="1:17" s="15" customFormat="1" ht="26.25" customHeight="1" x14ac:dyDescent="0.2">
      <c r="A462" s="43" t="s">
        <v>400</v>
      </c>
      <c r="B462" s="46" t="s">
        <v>92</v>
      </c>
      <c r="C462" s="44" t="s">
        <v>414</v>
      </c>
      <c r="D462" s="34">
        <v>4287</v>
      </c>
      <c r="E462" s="46" t="s">
        <v>431</v>
      </c>
      <c r="F462" s="35">
        <f>5379*2</f>
        <v>10758</v>
      </c>
      <c r="G462" s="40">
        <f>5379*2</f>
        <v>10758</v>
      </c>
      <c r="H462" s="35">
        <v>0</v>
      </c>
      <c r="I462" s="35">
        <f t="shared" si="14"/>
        <v>10758</v>
      </c>
      <c r="J462" s="36">
        <f t="shared" si="15"/>
        <v>0</v>
      </c>
      <c r="K462" s="48" t="s">
        <v>37</v>
      </c>
      <c r="L462" s="48" t="s">
        <v>37</v>
      </c>
      <c r="M462" s="38">
        <v>41455</v>
      </c>
      <c r="N462" s="48" t="s">
        <v>64</v>
      </c>
      <c r="O462" s="41">
        <v>5379</v>
      </c>
      <c r="P462" s="41">
        <v>5379</v>
      </c>
      <c r="Q462" s="41"/>
    </row>
    <row r="463" spans="1:17" s="15" customFormat="1" ht="26.25" customHeight="1" x14ac:dyDescent="0.2">
      <c r="A463" s="43" t="s">
        <v>637</v>
      </c>
      <c r="B463" s="46" t="s">
        <v>48</v>
      </c>
      <c r="C463" s="44" t="s">
        <v>644</v>
      </c>
      <c r="D463" s="34">
        <v>4665</v>
      </c>
      <c r="E463" s="46" t="s">
        <v>649</v>
      </c>
      <c r="F463" s="35">
        <v>15000</v>
      </c>
      <c r="G463" s="40">
        <v>15000</v>
      </c>
      <c r="H463" s="35">
        <v>0</v>
      </c>
      <c r="I463" s="35">
        <f t="shared" si="14"/>
        <v>15000</v>
      </c>
      <c r="J463" s="36">
        <f t="shared" si="15"/>
        <v>0</v>
      </c>
      <c r="K463" s="48" t="s">
        <v>37</v>
      </c>
      <c r="L463" s="48" t="s">
        <v>37</v>
      </c>
      <c r="M463" s="38">
        <v>41274</v>
      </c>
      <c r="N463" s="37"/>
      <c r="O463" s="35">
        <v>15000</v>
      </c>
      <c r="P463" s="35"/>
      <c r="Q463" s="35"/>
    </row>
    <row r="464" spans="1:17" s="15" customFormat="1" ht="26.25" customHeight="1" x14ac:dyDescent="0.2">
      <c r="A464" s="43" t="s">
        <v>1250</v>
      </c>
      <c r="B464" s="46" t="s">
        <v>48</v>
      </c>
      <c r="C464" s="44" t="s">
        <v>644</v>
      </c>
      <c r="D464" s="47">
        <v>5810</v>
      </c>
      <c r="E464" s="46" t="s">
        <v>1241</v>
      </c>
      <c r="F464" s="35">
        <v>35000</v>
      </c>
      <c r="G464" s="40">
        <v>35000</v>
      </c>
      <c r="H464" s="35">
        <v>0</v>
      </c>
      <c r="I464" s="35">
        <f t="shared" si="14"/>
        <v>35000</v>
      </c>
      <c r="J464" s="36">
        <f t="shared" si="15"/>
        <v>0</v>
      </c>
      <c r="K464" s="48" t="s">
        <v>37</v>
      </c>
      <c r="L464" s="48" t="s">
        <v>37</v>
      </c>
      <c r="M464" s="38">
        <v>41399</v>
      </c>
      <c r="N464" s="48"/>
      <c r="O464" s="35">
        <v>35000</v>
      </c>
      <c r="P464" s="35"/>
      <c r="Q464" s="35"/>
    </row>
    <row r="465" spans="1:17" s="15" customFormat="1" ht="26.25" customHeight="1" x14ac:dyDescent="0.2">
      <c r="A465" s="43" t="s">
        <v>606</v>
      </c>
      <c r="B465" s="46" t="s">
        <v>39</v>
      </c>
      <c r="C465" s="44" t="s">
        <v>617</v>
      </c>
      <c r="D465" s="34">
        <v>4628</v>
      </c>
      <c r="E465" s="46" t="s">
        <v>626</v>
      </c>
      <c r="F465" s="35">
        <v>99000</v>
      </c>
      <c r="G465" s="40">
        <v>99000</v>
      </c>
      <c r="H465" s="35">
        <v>0</v>
      </c>
      <c r="I465" s="35">
        <f t="shared" si="14"/>
        <v>99000</v>
      </c>
      <c r="J465" s="36">
        <f t="shared" si="15"/>
        <v>0</v>
      </c>
      <c r="K465" s="48" t="s">
        <v>37</v>
      </c>
      <c r="L465" s="48" t="s">
        <v>37</v>
      </c>
      <c r="M465" s="38">
        <v>41455</v>
      </c>
      <c r="N465" s="48"/>
      <c r="O465" s="35">
        <v>99000</v>
      </c>
      <c r="P465" s="35"/>
      <c r="Q465" s="35"/>
    </row>
    <row r="466" spans="1:17" s="15" customFormat="1" ht="38.25" customHeight="1" x14ac:dyDescent="0.2">
      <c r="A466" s="43" t="s">
        <v>1263</v>
      </c>
      <c r="B466" s="46" t="s">
        <v>39</v>
      </c>
      <c r="C466" s="44" t="s">
        <v>617</v>
      </c>
      <c r="D466" s="47">
        <v>5545</v>
      </c>
      <c r="E466" s="46" t="s">
        <v>1277</v>
      </c>
      <c r="F466" s="35">
        <v>49920</v>
      </c>
      <c r="G466" s="40">
        <v>49920</v>
      </c>
      <c r="H466" s="35">
        <v>0</v>
      </c>
      <c r="I466" s="35">
        <f t="shared" si="14"/>
        <v>49920</v>
      </c>
      <c r="J466" s="36">
        <f t="shared" si="15"/>
        <v>0</v>
      </c>
      <c r="K466" s="48" t="s">
        <v>37</v>
      </c>
      <c r="L466" s="48" t="s">
        <v>37</v>
      </c>
      <c r="M466" s="38">
        <v>41455</v>
      </c>
      <c r="N466" s="48"/>
      <c r="O466" s="35">
        <v>49920</v>
      </c>
      <c r="P466" s="35"/>
      <c r="Q466" s="35"/>
    </row>
    <row r="467" spans="1:17" s="15" customFormat="1" ht="26.25" customHeight="1" x14ac:dyDescent="0.2">
      <c r="A467" s="43" t="s">
        <v>481</v>
      </c>
      <c r="B467" s="46" t="s">
        <v>46</v>
      </c>
      <c r="C467" s="44" t="s">
        <v>1000</v>
      </c>
      <c r="D467" s="47">
        <v>4401</v>
      </c>
      <c r="E467" s="46" t="s">
        <v>507</v>
      </c>
      <c r="F467" s="35">
        <f>40000*3</f>
        <v>120000</v>
      </c>
      <c r="G467" s="40">
        <f>40000*3</f>
        <v>120000</v>
      </c>
      <c r="H467" s="35">
        <v>0</v>
      </c>
      <c r="I467" s="35">
        <f t="shared" si="14"/>
        <v>120000</v>
      </c>
      <c r="J467" s="36">
        <f t="shared" si="15"/>
        <v>0</v>
      </c>
      <c r="K467" s="48" t="s">
        <v>37</v>
      </c>
      <c r="L467" s="48" t="s">
        <v>37</v>
      </c>
      <c r="M467" s="38">
        <v>41455</v>
      </c>
      <c r="N467" s="48" t="s">
        <v>64</v>
      </c>
      <c r="O467" s="41">
        <v>40000</v>
      </c>
      <c r="P467" s="41">
        <v>40000</v>
      </c>
      <c r="Q467" s="41">
        <v>40000</v>
      </c>
    </row>
    <row r="468" spans="1:17" s="15" customFormat="1" ht="26.25" customHeight="1" x14ac:dyDescent="0.2">
      <c r="A468" s="43" t="s">
        <v>996</v>
      </c>
      <c r="B468" s="46" t="s">
        <v>46</v>
      </c>
      <c r="C468" s="44" t="s">
        <v>1000</v>
      </c>
      <c r="D468" s="34">
        <v>4998</v>
      </c>
      <c r="E468" s="46" t="s">
        <v>1003</v>
      </c>
      <c r="F468" s="35">
        <f>30000*3</f>
        <v>90000</v>
      </c>
      <c r="G468" s="40">
        <v>40000</v>
      </c>
      <c r="H468" s="35">
        <f>30000*3</f>
        <v>90000</v>
      </c>
      <c r="I468" s="35">
        <f t="shared" si="14"/>
        <v>130000</v>
      </c>
      <c r="J468" s="36">
        <f t="shared" si="15"/>
        <v>2.25</v>
      </c>
      <c r="K468" s="48" t="s">
        <v>37</v>
      </c>
      <c r="L468" s="48" t="s">
        <v>37</v>
      </c>
      <c r="M468" s="38">
        <v>41455</v>
      </c>
      <c r="N468" s="48" t="s">
        <v>64</v>
      </c>
      <c r="O468" s="35">
        <v>30000</v>
      </c>
      <c r="P468" s="35">
        <v>30000</v>
      </c>
      <c r="Q468" s="35">
        <v>30000</v>
      </c>
    </row>
    <row r="469" spans="1:17" s="15" customFormat="1" ht="26.25" customHeight="1" x14ac:dyDescent="0.2">
      <c r="A469" s="43" t="s">
        <v>1340</v>
      </c>
      <c r="B469" s="46" t="s">
        <v>46</v>
      </c>
      <c r="C469" s="44" t="s">
        <v>1000</v>
      </c>
      <c r="D469" s="47">
        <v>6062</v>
      </c>
      <c r="E469" s="46" t="s">
        <v>1003</v>
      </c>
      <c r="F469" s="35">
        <v>15000</v>
      </c>
      <c r="G469" s="40">
        <v>40000</v>
      </c>
      <c r="H469" s="35">
        <f>30000+15000</f>
        <v>45000</v>
      </c>
      <c r="I469" s="35">
        <f t="shared" si="14"/>
        <v>85000</v>
      </c>
      <c r="J469" s="36">
        <f t="shared" si="15"/>
        <v>1.125</v>
      </c>
      <c r="K469" s="48" t="s">
        <v>37</v>
      </c>
      <c r="L469" s="48" t="s">
        <v>37</v>
      </c>
      <c r="M469" s="38">
        <v>41455</v>
      </c>
      <c r="N469" s="48" t="s">
        <v>36</v>
      </c>
      <c r="O469" s="35">
        <v>15000</v>
      </c>
      <c r="P469" s="35"/>
      <c r="Q469" s="35"/>
    </row>
    <row r="470" spans="1:17" s="15" customFormat="1" ht="26.25" customHeight="1" x14ac:dyDescent="0.2">
      <c r="A470" s="43" t="s">
        <v>721</v>
      </c>
      <c r="B470" s="46" t="s">
        <v>49</v>
      </c>
      <c r="C470" s="44" t="s">
        <v>734</v>
      </c>
      <c r="D470" s="34">
        <v>4826</v>
      </c>
      <c r="E470" s="46" t="s">
        <v>724</v>
      </c>
      <c r="F470" s="35">
        <v>95000</v>
      </c>
      <c r="G470" s="40">
        <v>95000</v>
      </c>
      <c r="H470" s="35">
        <v>0</v>
      </c>
      <c r="I470" s="35">
        <f t="shared" si="14"/>
        <v>95000</v>
      </c>
      <c r="J470" s="36">
        <f t="shared" si="15"/>
        <v>0</v>
      </c>
      <c r="K470" s="48" t="s">
        <v>37</v>
      </c>
      <c r="L470" s="48" t="s">
        <v>42</v>
      </c>
      <c r="M470" s="38">
        <v>41455</v>
      </c>
      <c r="N470" s="37"/>
      <c r="O470" s="35">
        <v>95000</v>
      </c>
      <c r="P470" s="35"/>
      <c r="Q470" s="35"/>
    </row>
    <row r="471" spans="1:17" s="15" customFormat="1" ht="26.25" customHeight="1" x14ac:dyDescent="0.2">
      <c r="A471" s="43" t="s">
        <v>388</v>
      </c>
      <c r="B471" s="46" t="s">
        <v>40</v>
      </c>
      <c r="C471" s="44" t="s">
        <v>55</v>
      </c>
      <c r="D471" s="34">
        <v>4135</v>
      </c>
      <c r="E471" s="46" t="s">
        <v>421</v>
      </c>
      <c r="F471" s="35">
        <f>20000*3</f>
        <v>60000</v>
      </c>
      <c r="G471" s="40">
        <f>20000*3</f>
        <v>60000</v>
      </c>
      <c r="H471" s="35">
        <v>0</v>
      </c>
      <c r="I471" s="35">
        <f t="shared" si="14"/>
        <v>60000</v>
      </c>
      <c r="J471" s="36">
        <f t="shared" si="15"/>
        <v>0</v>
      </c>
      <c r="K471" s="48" t="s">
        <v>37</v>
      </c>
      <c r="L471" s="48" t="s">
        <v>37</v>
      </c>
      <c r="M471" s="38">
        <v>41455</v>
      </c>
      <c r="N471" s="48" t="s">
        <v>64</v>
      </c>
      <c r="O471" s="41">
        <v>20000</v>
      </c>
      <c r="P471" s="41">
        <v>20000</v>
      </c>
      <c r="Q471" s="41">
        <v>20000</v>
      </c>
    </row>
    <row r="472" spans="1:17" s="15" customFormat="1" ht="26.25" customHeight="1" x14ac:dyDescent="0.2">
      <c r="A472" s="43" t="s">
        <v>655</v>
      </c>
      <c r="B472" s="46" t="s">
        <v>17</v>
      </c>
      <c r="C472" s="44" t="s">
        <v>668</v>
      </c>
      <c r="D472" s="34">
        <v>4105</v>
      </c>
      <c r="E472" s="46" t="s">
        <v>673</v>
      </c>
      <c r="F472" s="49">
        <f>65000*3</f>
        <v>195000</v>
      </c>
      <c r="G472" s="40">
        <f>65000*3</f>
        <v>195000</v>
      </c>
      <c r="H472" s="35">
        <v>0</v>
      </c>
      <c r="I472" s="35">
        <f t="shared" si="14"/>
        <v>195000</v>
      </c>
      <c r="J472" s="36">
        <f t="shared" si="15"/>
        <v>0</v>
      </c>
      <c r="K472" s="48" t="s">
        <v>37</v>
      </c>
      <c r="L472" s="48" t="s">
        <v>37</v>
      </c>
      <c r="M472" s="38">
        <v>41455</v>
      </c>
      <c r="N472" s="48" t="s">
        <v>64</v>
      </c>
      <c r="O472" s="35">
        <v>65000</v>
      </c>
      <c r="P472" s="35">
        <v>65000</v>
      </c>
      <c r="Q472" s="35">
        <v>65000</v>
      </c>
    </row>
    <row r="473" spans="1:17" s="15" customFormat="1" ht="38.25" customHeight="1" x14ac:dyDescent="0.2">
      <c r="A473" s="43" t="s">
        <v>1418</v>
      </c>
      <c r="B473" s="46" t="s">
        <v>50</v>
      </c>
      <c r="C473" s="44" t="s">
        <v>1421</v>
      </c>
      <c r="D473" s="47" t="s">
        <v>41</v>
      </c>
      <c r="E473" s="46" t="s">
        <v>1424</v>
      </c>
      <c r="F473" s="35">
        <v>31780</v>
      </c>
      <c r="G473" s="40">
        <v>31780</v>
      </c>
      <c r="H473" s="35">
        <v>0</v>
      </c>
      <c r="I473" s="35">
        <f t="shared" si="14"/>
        <v>31780</v>
      </c>
      <c r="J473" s="36">
        <f t="shared" si="15"/>
        <v>0</v>
      </c>
      <c r="K473" s="48" t="s">
        <v>37</v>
      </c>
      <c r="L473" s="48" t="s">
        <v>37</v>
      </c>
      <c r="M473" s="38">
        <v>41458</v>
      </c>
      <c r="N473" s="48"/>
      <c r="O473" s="35">
        <v>31780</v>
      </c>
      <c r="P473" s="35"/>
      <c r="Q473" s="35"/>
    </row>
    <row r="474" spans="1:17" s="15" customFormat="1" ht="26.25" customHeight="1" x14ac:dyDescent="0.2">
      <c r="A474" s="43" t="s">
        <v>164</v>
      </c>
      <c r="B474" s="46" t="s">
        <v>48</v>
      </c>
      <c r="C474" s="44" t="s">
        <v>108</v>
      </c>
      <c r="D474" s="34">
        <v>4036</v>
      </c>
      <c r="E474" s="46" t="s">
        <v>192</v>
      </c>
      <c r="F474" s="35">
        <v>23100</v>
      </c>
      <c r="G474" s="40">
        <v>23100</v>
      </c>
      <c r="H474" s="35">
        <v>0</v>
      </c>
      <c r="I474" s="35">
        <f t="shared" si="14"/>
        <v>23100</v>
      </c>
      <c r="J474" s="36">
        <f t="shared" si="15"/>
        <v>0</v>
      </c>
      <c r="K474" s="48" t="s">
        <v>37</v>
      </c>
      <c r="L474" s="48" t="s">
        <v>37</v>
      </c>
      <c r="M474" s="38">
        <v>41379</v>
      </c>
      <c r="N474" s="37"/>
      <c r="O474" s="41">
        <v>23100</v>
      </c>
      <c r="P474" s="41"/>
      <c r="Q474" s="41"/>
    </row>
    <row r="475" spans="1:17" s="15" customFormat="1" ht="26.25" customHeight="1" x14ac:dyDescent="0.2">
      <c r="A475" s="43" t="s">
        <v>255</v>
      </c>
      <c r="B475" s="46" t="s">
        <v>46</v>
      </c>
      <c r="C475" s="44" t="s">
        <v>108</v>
      </c>
      <c r="D475" s="34">
        <v>4276</v>
      </c>
      <c r="E475" s="46" t="s">
        <v>271</v>
      </c>
      <c r="F475" s="35">
        <f>93600*3</f>
        <v>280800</v>
      </c>
      <c r="G475" s="40">
        <f>93600*3</f>
        <v>280800</v>
      </c>
      <c r="H475" s="35">
        <v>0</v>
      </c>
      <c r="I475" s="35">
        <f t="shared" si="14"/>
        <v>280800</v>
      </c>
      <c r="J475" s="36">
        <f t="shared" si="15"/>
        <v>0</v>
      </c>
      <c r="K475" s="48" t="s">
        <v>37</v>
      </c>
      <c r="L475" s="48" t="s">
        <v>37</v>
      </c>
      <c r="M475" s="38">
        <v>41455</v>
      </c>
      <c r="N475" s="48" t="s">
        <v>64</v>
      </c>
      <c r="O475" s="41">
        <v>93600</v>
      </c>
      <c r="P475" s="41">
        <v>93600</v>
      </c>
      <c r="Q475" s="41">
        <v>93600</v>
      </c>
    </row>
    <row r="476" spans="1:17" s="15" customFormat="1" ht="18" customHeight="1" x14ac:dyDescent="0.2">
      <c r="A476" s="43" t="s">
        <v>995</v>
      </c>
      <c r="B476" s="46" t="s">
        <v>17</v>
      </c>
      <c r="C476" s="44" t="s">
        <v>999</v>
      </c>
      <c r="D476" s="34">
        <v>5160</v>
      </c>
      <c r="E476" s="46" t="s">
        <v>963</v>
      </c>
      <c r="F476" s="35">
        <v>92800</v>
      </c>
      <c r="G476" s="40">
        <v>1432649</v>
      </c>
      <c r="H476" s="35">
        <v>92800</v>
      </c>
      <c r="I476" s="35">
        <f t="shared" si="14"/>
        <v>1525449</v>
      </c>
      <c r="J476" s="36">
        <f t="shared" si="15"/>
        <v>6.4775112396686138E-2</v>
      </c>
      <c r="K476" s="48" t="s">
        <v>37</v>
      </c>
      <c r="L476" s="48" t="s">
        <v>37</v>
      </c>
      <c r="M476" s="38">
        <v>41384</v>
      </c>
      <c r="N476" s="48" t="s">
        <v>36</v>
      </c>
      <c r="O476" s="35">
        <v>92800</v>
      </c>
      <c r="P476" s="35"/>
      <c r="Q476" s="35"/>
    </row>
    <row r="477" spans="1:17" s="15" customFormat="1" ht="26.25" customHeight="1" x14ac:dyDescent="0.2">
      <c r="A477" s="43" t="s">
        <v>520</v>
      </c>
      <c r="B477" s="46" t="s">
        <v>39</v>
      </c>
      <c r="C477" s="44" t="s">
        <v>525</v>
      </c>
      <c r="D477" s="47">
        <v>4403</v>
      </c>
      <c r="E477" s="46" t="s">
        <v>527</v>
      </c>
      <c r="F477" s="35">
        <v>51984</v>
      </c>
      <c r="G477" s="40">
        <v>51984</v>
      </c>
      <c r="H477" s="35">
        <v>0</v>
      </c>
      <c r="I477" s="35">
        <f t="shared" si="14"/>
        <v>51984</v>
      </c>
      <c r="J477" s="36">
        <f t="shared" si="15"/>
        <v>0</v>
      </c>
      <c r="K477" s="48" t="s">
        <v>37</v>
      </c>
      <c r="L477" s="48" t="s">
        <v>42</v>
      </c>
      <c r="M477" s="38">
        <v>41455</v>
      </c>
      <c r="N477" s="48"/>
      <c r="O477" s="41">
        <v>51984</v>
      </c>
      <c r="P477" s="41"/>
      <c r="Q477" s="41"/>
    </row>
    <row r="478" spans="1:17" s="15" customFormat="1" ht="26.25" customHeight="1" x14ac:dyDescent="0.2">
      <c r="A478" s="43" t="s">
        <v>994</v>
      </c>
      <c r="B478" s="46" t="s">
        <v>39</v>
      </c>
      <c r="C478" s="44" t="s">
        <v>525</v>
      </c>
      <c r="D478" s="34">
        <v>5182</v>
      </c>
      <c r="E478" s="46" t="s">
        <v>1002</v>
      </c>
      <c r="F478" s="35">
        <v>3000</v>
      </c>
      <c r="G478" s="40">
        <v>51984</v>
      </c>
      <c r="H478" s="35">
        <v>3000</v>
      </c>
      <c r="I478" s="35">
        <f t="shared" si="14"/>
        <v>54984</v>
      </c>
      <c r="J478" s="36">
        <f t="shared" si="15"/>
        <v>5.7710064635272389E-2</v>
      </c>
      <c r="K478" s="48" t="s">
        <v>37</v>
      </c>
      <c r="L478" s="48" t="s">
        <v>37</v>
      </c>
      <c r="M478" s="38">
        <v>41455</v>
      </c>
      <c r="N478" s="48" t="s">
        <v>36</v>
      </c>
      <c r="O478" s="35">
        <v>3000</v>
      </c>
      <c r="P478" s="35"/>
      <c r="Q478" s="35"/>
    </row>
    <row r="479" spans="1:17" s="15" customFormat="1" ht="26.25" customHeight="1" x14ac:dyDescent="0.2">
      <c r="A479" s="43" t="s">
        <v>821</v>
      </c>
      <c r="B479" s="46" t="s">
        <v>825</v>
      </c>
      <c r="C479" s="44" t="s">
        <v>844</v>
      </c>
      <c r="D479" s="34">
        <v>4941</v>
      </c>
      <c r="E479" s="46" t="s">
        <v>861</v>
      </c>
      <c r="F479" s="35">
        <f>10000*3</f>
        <v>30000</v>
      </c>
      <c r="G479" s="40">
        <f>10000*3</f>
        <v>30000</v>
      </c>
      <c r="H479" s="35">
        <v>0</v>
      </c>
      <c r="I479" s="35">
        <f t="shared" si="14"/>
        <v>30000</v>
      </c>
      <c r="J479" s="36">
        <f t="shared" si="15"/>
        <v>0</v>
      </c>
      <c r="K479" s="48" t="s">
        <v>37</v>
      </c>
      <c r="L479" s="48" t="s">
        <v>37</v>
      </c>
      <c r="M479" s="38">
        <v>41455</v>
      </c>
      <c r="N479" s="48" t="s">
        <v>64</v>
      </c>
      <c r="O479" s="35">
        <v>10000</v>
      </c>
      <c r="P479" s="35">
        <v>10000</v>
      </c>
      <c r="Q479" s="35">
        <v>10000</v>
      </c>
    </row>
    <row r="480" spans="1:17" s="15" customFormat="1" ht="26.25" customHeight="1" x14ac:dyDescent="0.2">
      <c r="A480" s="43" t="s">
        <v>320</v>
      </c>
      <c r="B480" s="46" t="s">
        <v>26</v>
      </c>
      <c r="C480" s="44" t="s">
        <v>24</v>
      </c>
      <c r="D480" s="47" t="s">
        <v>361</v>
      </c>
      <c r="E480" s="46" t="s">
        <v>33</v>
      </c>
      <c r="F480" s="35">
        <v>25000</v>
      </c>
      <c r="G480" s="40">
        <v>25000</v>
      </c>
      <c r="H480" s="35">
        <v>0</v>
      </c>
      <c r="I480" s="35">
        <f t="shared" si="14"/>
        <v>25000</v>
      </c>
      <c r="J480" s="36">
        <f t="shared" si="15"/>
        <v>0</v>
      </c>
      <c r="K480" s="48" t="s">
        <v>37</v>
      </c>
      <c r="L480" s="48" t="s">
        <v>37</v>
      </c>
      <c r="M480" s="38">
        <v>41455</v>
      </c>
      <c r="N480" s="37"/>
      <c r="O480" s="41">
        <v>25000</v>
      </c>
      <c r="P480" s="41"/>
      <c r="Q480" s="41"/>
    </row>
    <row r="481" spans="1:17" s="15" customFormat="1" ht="38.25" customHeight="1" x14ac:dyDescent="0.2">
      <c r="A481" s="43" t="s">
        <v>318</v>
      </c>
      <c r="B481" s="46" t="s">
        <v>26</v>
      </c>
      <c r="C481" s="44" t="s">
        <v>32</v>
      </c>
      <c r="D481" s="47" t="s">
        <v>359</v>
      </c>
      <c r="E481" s="46" t="s">
        <v>382</v>
      </c>
      <c r="F481" s="35">
        <v>15000</v>
      </c>
      <c r="G481" s="40">
        <v>15000</v>
      </c>
      <c r="H481" s="35">
        <v>0</v>
      </c>
      <c r="I481" s="35">
        <f t="shared" si="14"/>
        <v>15000</v>
      </c>
      <c r="J481" s="36">
        <f t="shared" si="15"/>
        <v>0</v>
      </c>
      <c r="K481" s="48" t="s">
        <v>37</v>
      </c>
      <c r="L481" s="48" t="s">
        <v>37</v>
      </c>
      <c r="M481" s="38">
        <v>41455</v>
      </c>
      <c r="N481" s="37"/>
      <c r="O481" s="41">
        <v>15000</v>
      </c>
      <c r="P481" s="41"/>
      <c r="Q481" s="41"/>
    </row>
    <row r="482" spans="1:17" s="15" customFormat="1" ht="26.25" customHeight="1" x14ac:dyDescent="0.2">
      <c r="A482" s="43" t="s">
        <v>319</v>
      </c>
      <c r="B482" s="46" t="s">
        <v>26</v>
      </c>
      <c r="C482" s="44" t="s">
        <v>32</v>
      </c>
      <c r="D482" s="47" t="s">
        <v>360</v>
      </c>
      <c r="E482" s="46" t="s">
        <v>35</v>
      </c>
      <c r="F482" s="35">
        <v>15000</v>
      </c>
      <c r="G482" s="40">
        <v>15000</v>
      </c>
      <c r="H482" s="35">
        <v>0</v>
      </c>
      <c r="I482" s="35">
        <f t="shared" si="14"/>
        <v>15000</v>
      </c>
      <c r="J482" s="36">
        <f t="shared" si="15"/>
        <v>0</v>
      </c>
      <c r="K482" s="48" t="s">
        <v>37</v>
      </c>
      <c r="L482" s="48" t="s">
        <v>37</v>
      </c>
      <c r="M482" s="38">
        <v>41455</v>
      </c>
      <c r="N482" s="48"/>
      <c r="O482" s="41">
        <v>15000</v>
      </c>
      <c r="P482" s="41"/>
      <c r="Q482" s="41"/>
    </row>
    <row r="483" spans="1:17" s="15" customFormat="1" ht="26.25" customHeight="1" x14ac:dyDescent="0.2">
      <c r="A483" s="43" t="s">
        <v>1190</v>
      </c>
      <c r="B483" s="46" t="s">
        <v>40</v>
      </c>
      <c r="C483" s="44" t="s">
        <v>1195</v>
      </c>
      <c r="D483" s="34">
        <v>5736</v>
      </c>
      <c r="E483" s="46" t="s">
        <v>1205</v>
      </c>
      <c r="F483" s="35">
        <v>17876</v>
      </c>
      <c r="G483" s="40">
        <v>17876</v>
      </c>
      <c r="H483" s="35">
        <v>0</v>
      </c>
      <c r="I483" s="35">
        <f t="shared" si="14"/>
        <v>17876</v>
      </c>
      <c r="J483" s="36">
        <f t="shared" si="15"/>
        <v>0</v>
      </c>
      <c r="K483" s="48" t="s">
        <v>37</v>
      </c>
      <c r="L483" s="48" t="s">
        <v>42</v>
      </c>
      <c r="M483" s="38">
        <v>41820</v>
      </c>
      <c r="N483" s="48"/>
      <c r="O483" s="35">
        <v>17876</v>
      </c>
      <c r="P483" s="35"/>
      <c r="Q483" s="35"/>
    </row>
    <row r="484" spans="1:17" s="15" customFormat="1" ht="26.25" customHeight="1" x14ac:dyDescent="0.2">
      <c r="A484" s="43" t="s">
        <v>1255</v>
      </c>
      <c r="B484" s="46" t="s">
        <v>20</v>
      </c>
      <c r="C484" s="44" t="s">
        <v>1235</v>
      </c>
      <c r="D484" s="47" t="s">
        <v>1236</v>
      </c>
      <c r="E484" s="46" t="s">
        <v>1243</v>
      </c>
      <c r="F484" s="35">
        <f>7000*3</f>
        <v>21000</v>
      </c>
      <c r="G484" s="40">
        <v>10000</v>
      </c>
      <c r="H484" s="35">
        <v>21000</v>
      </c>
      <c r="I484" s="35">
        <f t="shared" si="14"/>
        <v>31000</v>
      </c>
      <c r="J484" s="36">
        <f t="shared" si="15"/>
        <v>2.1</v>
      </c>
      <c r="K484" s="48" t="s">
        <v>37</v>
      </c>
      <c r="L484" s="48" t="s">
        <v>37</v>
      </c>
      <c r="M484" s="38">
        <v>41455</v>
      </c>
      <c r="N484" s="48" t="s">
        <v>64</v>
      </c>
      <c r="O484" s="35">
        <v>7000</v>
      </c>
      <c r="P484" s="35">
        <v>7000</v>
      </c>
      <c r="Q484" s="35">
        <v>7000</v>
      </c>
    </row>
    <row r="485" spans="1:17" s="15" customFormat="1" ht="26.25" customHeight="1" x14ac:dyDescent="0.2">
      <c r="A485" s="43" t="s">
        <v>822</v>
      </c>
      <c r="B485" s="46" t="s">
        <v>825</v>
      </c>
      <c r="C485" s="44" t="s">
        <v>845</v>
      </c>
      <c r="D485" s="34">
        <v>4944</v>
      </c>
      <c r="E485" s="46" t="s">
        <v>864</v>
      </c>
      <c r="F485" s="35">
        <f>35000*3</f>
        <v>105000</v>
      </c>
      <c r="G485" s="40">
        <f>35000*3</f>
        <v>105000</v>
      </c>
      <c r="H485" s="35">
        <v>0</v>
      </c>
      <c r="I485" s="35">
        <f t="shared" si="14"/>
        <v>105000</v>
      </c>
      <c r="J485" s="36">
        <f t="shared" si="15"/>
        <v>0</v>
      </c>
      <c r="K485" s="48" t="s">
        <v>37</v>
      </c>
      <c r="L485" s="48" t="s">
        <v>37</v>
      </c>
      <c r="M485" s="38">
        <v>41455</v>
      </c>
      <c r="N485" s="48" t="s">
        <v>64</v>
      </c>
      <c r="O485" s="35">
        <v>35000</v>
      </c>
      <c r="P485" s="35">
        <v>35000</v>
      </c>
      <c r="Q485" s="35">
        <v>35000</v>
      </c>
    </row>
    <row r="486" spans="1:17" s="15" customFormat="1" ht="26.25" customHeight="1" x14ac:dyDescent="0.2">
      <c r="A486" s="43" t="s">
        <v>1146</v>
      </c>
      <c r="B486" s="46" t="s">
        <v>825</v>
      </c>
      <c r="C486" s="44" t="s">
        <v>845</v>
      </c>
      <c r="D486" s="34">
        <v>5573</v>
      </c>
      <c r="E486" s="46" t="s">
        <v>1158</v>
      </c>
      <c r="F486" s="35">
        <f>55000+55000+55000</f>
        <v>165000</v>
      </c>
      <c r="G486" s="40">
        <f>35000</f>
        <v>35000</v>
      </c>
      <c r="H486" s="35">
        <f>55000*3</f>
        <v>165000</v>
      </c>
      <c r="I486" s="35">
        <f t="shared" si="14"/>
        <v>200000</v>
      </c>
      <c r="J486" s="36">
        <f t="shared" si="15"/>
        <v>4.7142857142857144</v>
      </c>
      <c r="K486" s="48" t="s">
        <v>37</v>
      </c>
      <c r="L486" s="48" t="s">
        <v>37</v>
      </c>
      <c r="M486" s="38">
        <v>41455</v>
      </c>
      <c r="N486" s="48" t="s">
        <v>64</v>
      </c>
      <c r="O486" s="35">
        <v>55000</v>
      </c>
      <c r="P486" s="35">
        <v>55000</v>
      </c>
      <c r="Q486" s="35">
        <v>55000</v>
      </c>
    </row>
    <row r="487" spans="1:17" s="15" customFormat="1" ht="26.25" customHeight="1" x14ac:dyDescent="0.2">
      <c r="A487" s="43" t="s">
        <v>389</v>
      </c>
      <c r="B487" s="46" t="s">
        <v>39</v>
      </c>
      <c r="C487" s="44" t="s">
        <v>89</v>
      </c>
      <c r="D487" s="47" t="s">
        <v>418</v>
      </c>
      <c r="E487" s="46" t="s">
        <v>115</v>
      </c>
      <c r="F487" s="35">
        <v>25000</v>
      </c>
      <c r="G487" s="40">
        <v>16000</v>
      </c>
      <c r="H487" s="35">
        <f>20000+21500+25000</f>
        <v>66500</v>
      </c>
      <c r="I487" s="35">
        <f t="shared" si="14"/>
        <v>82500</v>
      </c>
      <c r="J487" s="36">
        <f t="shared" si="15"/>
        <v>4.15625</v>
      </c>
      <c r="K487" s="48" t="s">
        <v>37</v>
      </c>
      <c r="L487" s="48" t="s">
        <v>37</v>
      </c>
      <c r="M487" s="38">
        <v>41182</v>
      </c>
      <c r="N487" s="48" t="s">
        <v>36</v>
      </c>
      <c r="O487" s="41">
        <v>25000</v>
      </c>
      <c r="P487" s="41"/>
      <c r="Q487" s="41"/>
    </row>
    <row r="488" spans="1:17" s="15" customFormat="1" ht="18" customHeight="1" x14ac:dyDescent="0.2">
      <c r="A488" s="43" t="s">
        <v>144</v>
      </c>
      <c r="B488" s="46" t="s">
        <v>43</v>
      </c>
      <c r="C488" s="44"/>
      <c r="D488" s="34"/>
      <c r="E488" s="58"/>
      <c r="F488" s="35"/>
      <c r="G488" s="40"/>
      <c r="H488" s="35"/>
      <c r="I488" s="35"/>
      <c r="J488" s="36"/>
      <c r="K488" s="48"/>
      <c r="L488" s="48"/>
      <c r="M488" s="38"/>
      <c r="N488" s="37"/>
      <c r="O488" s="41"/>
      <c r="P488" s="41"/>
      <c r="Q488" s="41"/>
    </row>
    <row r="489" spans="1:17" s="15" customFormat="1" ht="18" customHeight="1" x14ac:dyDescent="0.2">
      <c r="A489" s="43" t="s">
        <v>1127</v>
      </c>
      <c r="B489" s="46" t="s">
        <v>43</v>
      </c>
      <c r="C489" s="44"/>
      <c r="D489" s="34"/>
      <c r="E489" s="46"/>
      <c r="F489" s="35"/>
      <c r="G489" s="40"/>
      <c r="H489" s="35"/>
      <c r="I489" s="35"/>
      <c r="J489" s="36"/>
      <c r="K489" s="48"/>
      <c r="L489" s="48"/>
      <c r="M489" s="38"/>
      <c r="N489" s="48"/>
      <c r="O489" s="35"/>
      <c r="P489" s="35"/>
      <c r="Q489" s="35"/>
    </row>
    <row r="490" spans="1:17" s="15" customFormat="1" ht="18" customHeight="1" x14ac:dyDescent="0.2">
      <c r="A490" s="43" t="s">
        <v>1326</v>
      </c>
      <c r="B490" s="46" t="s">
        <v>43</v>
      </c>
      <c r="C490" s="44"/>
      <c r="D490" s="34"/>
      <c r="E490" s="46"/>
      <c r="F490" s="35"/>
      <c r="G490" s="40"/>
      <c r="H490" s="35"/>
      <c r="I490" s="35"/>
      <c r="J490" s="36"/>
      <c r="K490" s="48"/>
      <c r="L490" s="48"/>
      <c r="M490" s="38"/>
      <c r="N490" s="48"/>
      <c r="O490" s="35"/>
      <c r="P490" s="35"/>
      <c r="Q490" s="35"/>
    </row>
    <row r="491" spans="1:17" s="15" customFormat="1" ht="18" customHeight="1" x14ac:dyDescent="0.2">
      <c r="A491" s="43" t="s">
        <v>1327</v>
      </c>
      <c r="B491" s="46" t="s">
        <v>43</v>
      </c>
      <c r="C491" s="44"/>
      <c r="D491" s="34"/>
      <c r="E491" s="46"/>
      <c r="F491" s="35"/>
      <c r="G491" s="40"/>
      <c r="H491" s="35"/>
      <c r="I491" s="35"/>
      <c r="J491" s="36"/>
      <c r="K491" s="48"/>
      <c r="L491" s="48"/>
      <c r="M491" s="38"/>
      <c r="N491" s="48"/>
      <c r="O491" s="35"/>
      <c r="P491" s="35"/>
      <c r="Q491" s="35"/>
    </row>
    <row r="492" spans="1:17" s="15" customFormat="1" ht="26.25" customHeight="1" x14ac:dyDescent="0.2">
      <c r="A492" s="43"/>
      <c r="B492" s="46"/>
      <c r="C492" s="44"/>
      <c r="D492" s="34"/>
      <c r="E492" s="46"/>
      <c r="F492" s="35"/>
      <c r="G492" s="40"/>
      <c r="H492" s="35"/>
      <c r="I492" s="35"/>
      <c r="J492" s="36"/>
      <c r="K492" s="37"/>
      <c r="L492" s="37"/>
      <c r="M492" s="38"/>
      <c r="N492" s="37"/>
      <c r="O492" s="35"/>
      <c r="P492" s="35"/>
      <c r="Q492" s="35"/>
    </row>
    <row r="493" spans="1:17" s="20" customFormat="1" ht="26.25" customHeight="1" x14ac:dyDescent="0.2">
      <c r="A493" s="14"/>
      <c r="B493" s="27"/>
      <c r="C493" s="33"/>
      <c r="D493" s="33"/>
      <c r="E493" s="11" t="s">
        <v>4</v>
      </c>
      <c r="F493" s="26">
        <f>SUM(F2:F492)</f>
        <v>27975411</v>
      </c>
      <c r="G493" s="26">
        <f>SUM(G2:G492)</f>
        <v>30462952</v>
      </c>
      <c r="H493" s="26">
        <f>SUM(H2:H492)</f>
        <v>4262600</v>
      </c>
      <c r="I493" s="26">
        <f>SUM(I2:I492)</f>
        <v>34725552</v>
      </c>
      <c r="J493" s="16"/>
      <c r="K493" s="17"/>
      <c r="L493" s="17"/>
      <c r="M493" s="18"/>
      <c r="N493" s="17"/>
      <c r="O493" s="26">
        <f>SUM(O2:O492)</f>
        <v>16426838</v>
      </c>
      <c r="P493" s="26">
        <f>SUM(P2:P492)</f>
        <v>5859074</v>
      </c>
      <c r="Q493" s="26">
        <f>SUM(Q2:Q492)</f>
        <v>5689499</v>
      </c>
    </row>
    <row r="494" spans="1:17" s="20" customFormat="1" ht="15" x14ac:dyDescent="0.2">
      <c r="A494" s="21"/>
      <c r="B494" s="22"/>
      <c r="C494" s="23"/>
      <c r="D494" s="23"/>
      <c r="E494" s="22"/>
      <c r="F494" s="19"/>
      <c r="G494" s="19"/>
      <c r="H494" s="19"/>
      <c r="J494" s="24"/>
      <c r="K494" s="25"/>
      <c r="L494" s="25"/>
      <c r="N494" s="25"/>
    </row>
    <row r="495" spans="1:17" ht="15" x14ac:dyDescent="0.2">
      <c r="A495" s="30"/>
      <c r="B495" s="31"/>
      <c r="C495" s="4"/>
      <c r="F495" s="19"/>
      <c r="G495" s="19"/>
      <c r="H495" s="19"/>
      <c r="I495" s="20"/>
      <c r="P495" s="28"/>
    </row>
    <row r="496" spans="1:17" x14ac:dyDescent="0.2">
      <c r="C496" s="4"/>
    </row>
    <row r="497" spans="3:16" x14ac:dyDescent="0.2">
      <c r="C497" s="4"/>
      <c r="P497" s="28"/>
    </row>
    <row r="498" spans="3:16" x14ac:dyDescent="0.2">
      <c r="C498" s="4"/>
    </row>
    <row r="499" spans="3:16" x14ac:dyDescent="0.2">
      <c r="C499" s="4"/>
      <c r="G499" s="32"/>
      <c r="P499" s="29"/>
    </row>
    <row r="500" spans="3:16" x14ac:dyDescent="0.2">
      <c r="C500" s="4"/>
    </row>
    <row r="501" spans="3:16" x14ac:dyDescent="0.2">
      <c r="C501" s="4"/>
    </row>
    <row r="502" spans="3:16" x14ac:dyDescent="0.2">
      <c r="C502" s="4"/>
    </row>
    <row r="503" spans="3:16" x14ac:dyDescent="0.2">
      <c r="C503" s="4"/>
    </row>
    <row r="504" spans="3:16" x14ac:dyDescent="0.2">
      <c r="C504" s="4"/>
    </row>
    <row r="505" spans="3:16" x14ac:dyDescent="0.2">
      <c r="C505" s="4"/>
    </row>
    <row r="506" spans="3:16" x14ac:dyDescent="0.2">
      <c r="C506" s="4"/>
    </row>
    <row r="507" spans="3:16" x14ac:dyDescent="0.2">
      <c r="C507" s="4"/>
    </row>
    <row r="508" spans="3:16" x14ac:dyDescent="0.2">
      <c r="C508" s="4"/>
    </row>
    <row r="509" spans="3:16" x14ac:dyDescent="0.2">
      <c r="C509" s="4"/>
    </row>
    <row r="510" spans="3:16" x14ac:dyDescent="0.2">
      <c r="C510" s="4"/>
    </row>
    <row r="511" spans="3:16" x14ac:dyDescent="0.2">
      <c r="C511" s="4"/>
    </row>
    <row r="512" spans="3:16" x14ac:dyDescent="0.2">
      <c r="C512" s="4"/>
    </row>
    <row r="513" spans="3:3" x14ac:dyDescent="0.2">
      <c r="C513" s="4"/>
    </row>
    <row r="514" spans="3:3" x14ac:dyDescent="0.2">
      <c r="C514" s="4"/>
    </row>
    <row r="515" spans="3:3" x14ac:dyDescent="0.2">
      <c r="C515" s="4"/>
    </row>
    <row r="516" spans="3:3" x14ac:dyDescent="0.2">
      <c r="C516" s="4"/>
    </row>
    <row r="517" spans="3:3" x14ac:dyDescent="0.2">
      <c r="C517" s="4"/>
    </row>
    <row r="518" spans="3:3" x14ac:dyDescent="0.2">
      <c r="C518" s="4"/>
    </row>
    <row r="519" spans="3:3" x14ac:dyDescent="0.2">
      <c r="C519" s="4"/>
    </row>
    <row r="520" spans="3:3" x14ac:dyDescent="0.2">
      <c r="C520" s="4"/>
    </row>
    <row r="521" spans="3:3" x14ac:dyDescent="0.2">
      <c r="C521" s="4"/>
    </row>
    <row r="522" spans="3:3" x14ac:dyDescent="0.2">
      <c r="C522" s="4"/>
    </row>
    <row r="523" spans="3:3" x14ac:dyDescent="0.2">
      <c r="C523" s="4"/>
    </row>
    <row r="524" spans="3:3" x14ac:dyDescent="0.2">
      <c r="C524" s="4"/>
    </row>
    <row r="525" spans="3:3" x14ac:dyDescent="0.2">
      <c r="C525" s="4"/>
    </row>
    <row r="526" spans="3:3" x14ac:dyDescent="0.2">
      <c r="C526" s="4"/>
    </row>
    <row r="527" spans="3:3" x14ac:dyDescent="0.2">
      <c r="C527" s="4"/>
    </row>
    <row r="528" spans="3:3" x14ac:dyDescent="0.2">
      <c r="C528" s="4"/>
    </row>
    <row r="529" spans="3:3" x14ac:dyDescent="0.2">
      <c r="C529" s="4"/>
    </row>
    <row r="530" spans="3:3" x14ac:dyDescent="0.2">
      <c r="C530" s="4"/>
    </row>
    <row r="531" spans="3:3" x14ac:dyDescent="0.2">
      <c r="C531" s="4"/>
    </row>
    <row r="532" spans="3:3" x14ac:dyDescent="0.2">
      <c r="C532" s="4"/>
    </row>
    <row r="533" spans="3:3" x14ac:dyDescent="0.2">
      <c r="C533" s="4"/>
    </row>
    <row r="534" spans="3:3" x14ac:dyDescent="0.2">
      <c r="C534" s="4"/>
    </row>
    <row r="535" spans="3:3" x14ac:dyDescent="0.2">
      <c r="C535" s="4"/>
    </row>
    <row r="536" spans="3:3" x14ac:dyDescent="0.2">
      <c r="C536" s="4"/>
    </row>
    <row r="537" spans="3:3" x14ac:dyDescent="0.2">
      <c r="C537" s="4"/>
    </row>
    <row r="538" spans="3:3" x14ac:dyDescent="0.2">
      <c r="C538" s="4"/>
    </row>
    <row r="539" spans="3:3" x14ac:dyDescent="0.2">
      <c r="C539" s="4"/>
    </row>
    <row r="540" spans="3:3" x14ac:dyDescent="0.2">
      <c r="C540" s="4"/>
    </row>
    <row r="541" spans="3:3" x14ac:dyDescent="0.2">
      <c r="C541" s="4"/>
    </row>
    <row r="542" spans="3:3" x14ac:dyDescent="0.2">
      <c r="C542" s="4"/>
    </row>
    <row r="543" spans="3:3" x14ac:dyDescent="0.2">
      <c r="C543" s="4"/>
    </row>
    <row r="544" spans="3:3" x14ac:dyDescent="0.2">
      <c r="C544" s="4"/>
    </row>
    <row r="545" spans="3:3" x14ac:dyDescent="0.2">
      <c r="C545" s="4"/>
    </row>
    <row r="546" spans="3:3" x14ac:dyDescent="0.2">
      <c r="C546" s="4"/>
    </row>
    <row r="547" spans="3:3" x14ac:dyDescent="0.2">
      <c r="C547" s="4"/>
    </row>
    <row r="548" spans="3:3" x14ac:dyDescent="0.2">
      <c r="C548" s="4"/>
    </row>
    <row r="549" spans="3:3" x14ac:dyDescent="0.2">
      <c r="C549" s="4"/>
    </row>
  </sheetData>
  <printOptions horizontalCentered="1"/>
  <pageMargins left="0.25" right="0.25" top="0.85" bottom="0.25" header="0.26" footer="0.31"/>
  <pageSetup paperSize="5" scale="65" orientation="landscape" r:id="rId1"/>
  <headerFooter alignWithMargins="0">
    <oddHeader>&amp;C&amp;"Arial,Bold"&amp;11 1153 FY2013
SUMMARY REPORT
BY VENDOR
As of June 30, 2013&amp;RRun Date: &amp;D      &amp;T     
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5"/>
  <sheetViews>
    <sheetView zoomScaleNormal="100" workbookViewId="0">
      <pane xSplit="2" ySplit="1" topLeftCell="C481" activePane="bottomRight" state="frozen"/>
      <selection pane="topRight" activeCell="B1" sqref="B1"/>
      <selection pane="bottomLeft" activeCell="A2" sqref="A2"/>
      <selection pane="bottomRight" activeCell="F500" sqref="F500"/>
    </sheetView>
  </sheetViews>
  <sheetFormatPr defaultRowHeight="12.75" x14ac:dyDescent="0.2"/>
  <cols>
    <col min="1" max="1" width="5.42578125" style="1" hidden="1" customWidth="1"/>
    <col min="2" max="2" width="8.7109375" style="12" customWidth="1"/>
    <col min="3" max="3" width="25.7109375" style="2" customWidth="1"/>
    <col min="4" max="4" width="22.85546875" customWidth="1"/>
    <col min="5" max="5" width="12.7109375" style="4" customWidth="1"/>
    <col min="6" max="6" width="58.42578125" style="2" customWidth="1"/>
    <col min="7" max="8" width="11.7109375" style="3" customWidth="1"/>
  </cols>
  <sheetData>
    <row r="1" spans="1:8" ht="24" x14ac:dyDescent="0.2">
      <c r="B1" s="13" t="s">
        <v>0</v>
      </c>
      <c r="C1" s="10" t="s">
        <v>6</v>
      </c>
      <c r="D1" s="10" t="s">
        <v>7</v>
      </c>
      <c r="E1" s="10" t="s">
        <v>13</v>
      </c>
      <c r="F1" s="10" t="s">
        <v>8</v>
      </c>
      <c r="G1" s="6" t="s">
        <v>9</v>
      </c>
      <c r="H1" s="6" t="s">
        <v>10</v>
      </c>
    </row>
    <row r="2" spans="1:8" ht="27.95" customHeight="1" x14ac:dyDescent="0.2">
      <c r="A2" s="1" t="s">
        <v>1440</v>
      </c>
      <c r="B2" s="43" t="s">
        <v>302</v>
      </c>
      <c r="C2" s="46" t="s">
        <v>48</v>
      </c>
      <c r="D2" s="44" t="s">
        <v>309</v>
      </c>
      <c r="E2" s="34">
        <v>3983</v>
      </c>
      <c r="F2" s="46" t="s">
        <v>315</v>
      </c>
      <c r="G2" s="35">
        <v>2500</v>
      </c>
      <c r="H2" s="40">
        <v>70000</v>
      </c>
    </row>
    <row r="3" spans="1:8" s="15" customFormat="1" ht="27.95" customHeight="1" x14ac:dyDescent="0.2">
      <c r="A3" s="1" t="s">
        <v>1440</v>
      </c>
      <c r="B3" s="43" t="s">
        <v>994</v>
      </c>
      <c r="C3" s="46" t="s">
        <v>39</v>
      </c>
      <c r="D3" s="44" t="s">
        <v>525</v>
      </c>
      <c r="E3" s="34">
        <v>5182</v>
      </c>
      <c r="F3" s="46" t="s">
        <v>1002</v>
      </c>
      <c r="G3" s="35">
        <v>3000</v>
      </c>
      <c r="H3" s="40">
        <v>51984</v>
      </c>
    </row>
    <row r="4" spans="1:8" s="15" customFormat="1" ht="27.95" customHeight="1" x14ac:dyDescent="0.2">
      <c r="A4" s="1" t="s">
        <v>1440</v>
      </c>
      <c r="B4" s="43" t="s">
        <v>303</v>
      </c>
      <c r="C4" s="46" t="s">
        <v>48</v>
      </c>
      <c r="D4" s="44" t="s">
        <v>104</v>
      </c>
      <c r="E4" s="34">
        <v>3982</v>
      </c>
      <c r="F4" s="46" t="s">
        <v>314</v>
      </c>
      <c r="G4" s="35">
        <v>3200</v>
      </c>
      <c r="H4" s="40">
        <v>17500</v>
      </c>
    </row>
    <row r="5" spans="1:8" s="15" customFormat="1" ht="27.95" customHeight="1" x14ac:dyDescent="0.2">
      <c r="A5" s="1" t="s">
        <v>1440</v>
      </c>
      <c r="B5" s="43" t="s">
        <v>972</v>
      </c>
      <c r="C5" s="46" t="s">
        <v>17</v>
      </c>
      <c r="D5" s="44" t="s">
        <v>976</v>
      </c>
      <c r="E5" s="34">
        <v>5130</v>
      </c>
      <c r="F5" s="46" t="s">
        <v>978</v>
      </c>
      <c r="G5" s="35">
        <v>4000</v>
      </c>
      <c r="H5" s="40">
        <v>25000</v>
      </c>
    </row>
    <row r="6" spans="1:8" s="15" customFormat="1" ht="27.95" customHeight="1" x14ac:dyDescent="0.2">
      <c r="A6" s="1" t="s">
        <v>1440</v>
      </c>
      <c r="B6" s="43" t="s">
        <v>1320</v>
      </c>
      <c r="C6" s="46" t="s">
        <v>67</v>
      </c>
      <c r="D6" s="44" t="s">
        <v>1328</v>
      </c>
      <c r="E6" s="47" t="s">
        <v>1331</v>
      </c>
      <c r="F6" s="46" t="s">
        <v>1332</v>
      </c>
      <c r="G6" s="35">
        <v>4000</v>
      </c>
      <c r="H6" s="40">
        <v>4000</v>
      </c>
    </row>
    <row r="7" spans="1:8" s="15" customFormat="1" ht="27.95" customHeight="1" x14ac:dyDescent="0.2">
      <c r="A7" s="1" t="s">
        <v>1440</v>
      </c>
      <c r="B7" s="43" t="s">
        <v>696</v>
      </c>
      <c r="C7" s="46" t="s">
        <v>48</v>
      </c>
      <c r="D7" s="44" t="s">
        <v>711</v>
      </c>
      <c r="E7" s="34">
        <v>4745</v>
      </c>
      <c r="F7" s="46" t="s">
        <v>703</v>
      </c>
      <c r="G7" s="35">
        <v>4500</v>
      </c>
      <c r="H7" s="40">
        <v>4500</v>
      </c>
    </row>
    <row r="8" spans="1:8" s="15" customFormat="1" ht="27.95" customHeight="1" x14ac:dyDescent="0.2">
      <c r="A8" s="1" t="s">
        <v>1440</v>
      </c>
      <c r="B8" s="43" t="s">
        <v>1175</v>
      </c>
      <c r="C8" s="46" t="s">
        <v>1176</v>
      </c>
      <c r="D8" s="44" t="s">
        <v>1177</v>
      </c>
      <c r="E8" s="34">
        <v>5629</v>
      </c>
      <c r="F8" s="59" t="s">
        <v>1173</v>
      </c>
      <c r="G8" s="35">
        <v>5460</v>
      </c>
      <c r="H8" s="40">
        <v>5460</v>
      </c>
    </row>
    <row r="9" spans="1:8" s="15" customFormat="1" ht="27.95" customHeight="1" x14ac:dyDescent="0.2">
      <c r="A9" s="1" t="s">
        <v>1440</v>
      </c>
      <c r="B9" s="43" t="s">
        <v>221</v>
      </c>
      <c r="C9" s="46" t="s">
        <v>46</v>
      </c>
      <c r="D9" s="44" t="s">
        <v>231</v>
      </c>
      <c r="E9" s="34">
        <v>4205</v>
      </c>
      <c r="F9" s="46" t="s">
        <v>239</v>
      </c>
      <c r="G9" s="35">
        <v>5484</v>
      </c>
      <c r="H9" s="40">
        <v>5484</v>
      </c>
    </row>
    <row r="10" spans="1:8" s="15" customFormat="1" ht="27.95" customHeight="1" x14ac:dyDescent="0.2">
      <c r="A10" s="1" t="s">
        <v>1440</v>
      </c>
      <c r="B10" s="43" t="s">
        <v>1264</v>
      </c>
      <c r="C10" s="46" t="s">
        <v>48</v>
      </c>
      <c r="D10" s="44" t="s">
        <v>1268</v>
      </c>
      <c r="E10" s="47">
        <v>5908</v>
      </c>
      <c r="F10" s="46" t="s">
        <v>1276</v>
      </c>
      <c r="G10" s="35">
        <v>5680</v>
      </c>
      <c r="H10" s="40">
        <v>5680</v>
      </c>
    </row>
    <row r="11" spans="1:8" s="15" customFormat="1" ht="27.95" customHeight="1" x14ac:dyDescent="0.2">
      <c r="A11" s="1" t="s">
        <v>1440</v>
      </c>
      <c r="B11" s="43" t="s">
        <v>1347</v>
      </c>
      <c r="C11" s="46" t="s">
        <v>48</v>
      </c>
      <c r="D11" s="44" t="s">
        <v>1352</v>
      </c>
      <c r="E11" s="47">
        <v>6067</v>
      </c>
      <c r="F11" s="46" t="s">
        <v>1357</v>
      </c>
      <c r="G11" s="35">
        <v>5710</v>
      </c>
      <c r="H11" s="40">
        <v>5710</v>
      </c>
    </row>
    <row r="12" spans="1:8" s="15" customFormat="1" ht="27.95" customHeight="1" x14ac:dyDescent="0.2">
      <c r="A12" s="1" t="s">
        <v>1440</v>
      </c>
      <c r="B12" s="43" t="s">
        <v>604</v>
      </c>
      <c r="C12" s="46" t="s">
        <v>49</v>
      </c>
      <c r="D12" s="44" t="s">
        <v>22</v>
      </c>
      <c r="E12" s="34">
        <v>4468</v>
      </c>
      <c r="F12" s="46" t="s">
        <v>676</v>
      </c>
      <c r="G12" s="35">
        <v>6000</v>
      </c>
      <c r="H12" s="40">
        <v>6000</v>
      </c>
    </row>
    <row r="13" spans="1:8" s="15" customFormat="1" ht="27.95" customHeight="1" x14ac:dyDescent="0.2">
      <c r="A13" s="1" t="s">
        <v>1440</v>
      </c>
      <c r="B13" s="43" t="s">
        <v>1159</v>
      </c>
      <c r="C13" s="46" t="s">
        <v>1128</v>
      </c>
      <c r="D13" s="44" t="s">
        <v>60</v>
      </c>
      <c r="E13" s="47" t="s">
        <v>1165</v>
      </c>
      <c r="F13" s="46" t="s">
        <v>1168</v>
      </c>
      <c r="G13" s="35">
        <v>6000</v>
      </c>
      <c r="H13" s="40">
        <v>10000</v>
      </c>
    </row>
    <row r="14" spans="1:8" s="15" customFormat="1" ht="27.95" customHeight="1" x14ac:dyDescent="0.2">
      <c r="A14" s="1" t="s">
        <v>1440</v>
      </c>
      <c r="B14" s="43" t="s">
        <v>1050</v>
      </c>
      <c r="C14" s="46" t="s">
        <v>48</v>
      </c>
      <c r="D14" s="44" t="s">
        <v>231</v>
      </c>
      <c r="E14" s="34">
        <v>5326</v>
      </c>
      <c r="F14" s="46" t="s">
        <v>1058</v>
      </c>
      <c r="G14" s="35">
        <v>6041</v>
      </c>
      <c r="H14" s="40">
        <v>6041</v>
      </c>
    </row>
    <row r="15" spans="1:8" s="15" customFormat="1" ht="27.95" customHeight="1" x14ac:dyDescent="0.2">
      <c r="A15" s="1" t="s">
        <v>1440</v>
      </c>
      <c r="B15" s="43" t="s">
        <v>659</v>
      </c>
      <c r="C15" s="46" t="s">
        <v>48</v>
      </c>
      <c r="D15" s="44" t="s">
        <v>121</v>
      </c>
      <c r="E15" s="34">
        <v>4520</v>
      </c>
      <c r="F15" s="46" t="s">
        <v>678</v>
      </c>
      <c r="G15" s="35">
        <v>6181</v>
      </c>
      <c r="H15" s="40">
        <v>6181</v>
      </c>
    </row>
    <row r="16" spans="1:8" s="15" customFormat="1" ht="27.95" customHeight="1" x14ac:dyDescent="0.2">
      <c r="A16" s="1" t="s">
        <v>1440</v>
      </c>
      <c r="B16" s="43" t="s">
        <v>737</v>
      </c>
      <c r="C16" s="46" t="s">
        <v>20</v>
      </c>
      <c r="D16" s="44" t="s">
        <v>103</v>
      </c>
      <c r="E16" s="34">
        <v>4461</v>
      </c>
      <c r="F16" s="46" t="s">
        <v>748</v>
      </c>
      <c r="G16" s="35">
        <v>6500</v>
      </c>
      <c r="H16" s="40">
        <v>6500</v>
      </c>
    </row>
    <row r="17" spans="1:8" s="15" customFormat="1" ht="27.95" customHeight="1" x14ac:dyDescent="0.2">
      <c r="A17" s="1" t="s">
        <v>1440</v>
      </c>
      <c r="B17" s="43" t="s">
        <v>924</v>
      </c>
      <c r="C17" s="46" t="s">
        <v>17</v>
      </c>
      <c r="D17" s="44" t="s">
        <v>928</v>
      </c>
      <c r="E17" s="34">
        <v>5085</v>
      </c>
      <c r="F17" s="46" t="s">
        <v>933</v>
      </c>
      <c r="G17" s="35">
        <v>6761</v>
      </c>
      <c r="H17" s="40">
        <v>6761</v>
      </c>
    </row>
    <row r="18" spans="1:8" s="15" customFormat="1" ht="27.95" customHeight="1" x14ac:dyDescent="0.2">
      <c r="A18" s="1" t="s">
        <v>1440</v>
      </c>
      <c r="B18" s="43" t="s">
        <v>1102</v>
      </c>
      <c r="C18" s="46" t="s">
        <v>17</v>
      </c>
      <c r="D18" s="44" t="s">
        <v>1111</v>
      </c>
      <c r="E18" s="34">
        <v>5393</v>
      </c>
      <c r="F18" s="46" t="s">
        <v>1117</v>
      </c>
      <c r="G18" s="35">
        <v>7000</v>
      </c>
      <c r="H18" s="40">
        <v>7000</v>
      </c>
    </row>
    <row r="19" spans="1:8" s="15" customFormat="1" ht="27.95" customHeight="1" x14ac:dyDescent="0.2">
      <c r="A19" s="1" t="s">
        <v>1440</v>
      </c>
      <c r="B19" s="43" t="s">
        <v>1262</v>
      </c>
      <c r="C19" s="46" t="s">
        <v>21</v>
      </c>
      <c r="D19" s="44" t="s">
        <v>22</v>
      </c>
      <c r="E19" s="47">
        <v>5872</v>
      </c>
      <c r="F19" s="46" t="s">
        <v>1273</v>
      </c>
      <c r="G19" s="35">
        <v>7000</v>
      </c>
      <c r="H19" s="40">
        <v>7000</v>
      </c>
    </row>
    <row r="20" spans="1:8" s="15" customFormat="1" ht="27.95" customHeight="1" x14ac:dyDescent="0.2">
      <c r="A20" s="1" t="s">
        <v>1440</v>
      </c>
      <c r="B20" s="43" t="s">
        <v>1324</v>
      </c>
      <c r="C20" s="46" t="s">
        <v>48</v>
      </c>
      <c r="D20" s="44" t="s">
        <v>1329</v>
      </c>
      <c r="E20" s="47">
        <v>6123</v>
      </c>
      <c r="F20" s="46" t="s">
        <v>1336</v>
      </c>
      <c r="G20" s="35">
        <v>7200</v>
      </c>
      <c r="H20" s="40">
        <v>7200</v>
      </c>
    </row>
    <row r="21" spans="1:8" s="15" customFormat="1" ht="27.95" customHeight="1" x14ac:dyDescent="0.2">
      <c r="A21" s="1" t="s">
        <v>1440</v>
      </c>
      <c r="B21" s="43" t="s">
        <v>441</v>
      </c>
      <c r="C21" s="46" t="s">
        <v>452</v>
      </c>
      <c r="D21" s="44" t="s">
        <v>455</v>
      </c>
      <c r="E21" s="47">
        <v>4343</v>
      </c>
      <c r="F21" s="46" t="s">
        <v>467</v>
      </c>
      <c r="G21" s="35">
        <v>7309</v>
      </c>
      <c r="H21" s="40">
        <v>7309</v>
      </c>
    </row>
    <row r="22" spans="1:8" s="15" customFormat="1" ht="27.95" customHeight="1" x14ac:dyDescent="0.2">
      <c r="A22" s="1" t="s">
        <v>1440</v>
      </c>
      <c r="B22" s="43" t="s">
        <v>223</v>
      </c>
      <c r="C22" s="46" t="s">
        <v>46</v>
      </c>
      <c r="D22" s="44" t="s">
        <v>232</v>
      </c>
      <c r="E22" s="34">
        <v>4207</v>
      </c>
      <c r="F22" s="46" t="s">
        <v>241</v>
      </c>
      <c r="G22" s="35">
        <v>7413</v>
      </c>
      <c r="H22" s="40">
        <v>7413</v>
      </c>
    </row>
    <row r="23" spans="1:8" s="15" customFormat="1" ht="27.95" customHeight="1" x14ac:dyDescent="0.2">
      <c r="A23" s="1" t="s">
        <v>1440</v>
      </c>
      <c r="B23" s="43" t="s">
        <v>1346</v>
      </c>
      <c r="C23" s="46" t="s">
        <v>39</v>
      </c>
      <c r="D23" s="44" t="s">
        <v>1351</v>
      </c>
      <c r="E23" s="47">
        <v>6058</v>
      </c>
      <c r="F23" s="46" t="s">
        <v>1356</v>
      </c>
      <c r="G23" s="35">
        <v>7417</v>
      </c>
      <c r="H23" s="40">
        <v>7417</v>
      </c>
    </row>
    <row r="24" spans="1:8" s="15" customFormat="1" ht="27.95" customHeight="1" x14ac:dyDescent="0.2">
      <c r="A24" s="1" t="s">
        <v>1440</v>
      </c>
      <c r="B24" s="43" t="s">
        <v>870</v>
      </c>
      <c r="C24" s="46" t="s">
        <v>47</v>
      </c>
      <c r="D24" s="44" t="s">
        <v>791</v>
      </c>
      <c r="E24" s="34">
        <v>4729</v>
      </c>
      <c r="F24" s="46" t="s">
        <v>878</v>
      </c>
      <c r="G24" s="35">
        <v>7613</v>
      </c>
      <c r="H24" s="40">
        <v>7613</v>
      </c>
    </row>
    <row r="25" spans="1:8" s="15" customFormat="1" ht="27.95" customHeight="1" x14ac:dyDescent="0.2">
      <c r="A25" s="1" t="s">
        <v>1440</v>
      </c>
      <c r="B25" s="43" t="s">
        <v>635</v>
      </c>
      <c r="C25" s="46" t="s">
        <v>48</v>
      </c>
      <c r="D25" s="44" t="s">
        <v>642</v>
      </c>
      <c r="E25" s="34">
        <v>4655</v>
      </c>
      <c r="F25" s="46" t="s">
        <v>647</v>
      </c>
      <c r="G25" s="35">
        <v>8527</v>
      </c>
      <c r="H25" s="40">
        <v>8527</v>
      </c>
    </row>
    <row r="26" spans="1:8" s="15" customFormat="1" ht="27.95" customHeight="1" x14ac:dyDescent="0.2">
      <c r="A26" s="1" t="s">
        <v>1440</v>
      </c>
      <c r="B26" s="43" t="s">
        <v>1005</v>
      </c>
      <c r="C26" s="46" t="s">
        <v>48</v>
      </c>
      <c r="D26" s="44" t="s">
        <v>96</v>
      </c>
      <c r="E26" s="34">
        <v>5266</v>
      </c>
      <c r="F26" s="46" t="s">
        <v>1015</v>
      </c>
      <c r="G26" s="35">
        <v>8700</v>
      </c>
      <c r="H26" s="40">
        <v>9688</v>
      </c>
    </row>
    <row r="27" spans="1:8" s="15" customFormat="1" ht="27.95" customHeight="1" x14ac:dyDescent="0.2">
      <c r="A27" s="1" t="s">
        <v>1440</v>
      </c>
      <c r="B27" s="43" t="s">
        <v>446</v>
      </c>
      <c r="C27" s="46" t="s">
        <v>50</v>
      </c>
      <c r="D27" s="44" t="s">
        <v>458</v>
      </c>
      <c r="E27" s="47">
        <v>4308</v>
      </c>
      <c r="F27" s="46" t="s">
        <v>472</v>
      </c>
      <c r="G27" s="35">
        <v>9000</v>
      </c>
      <c r="H27" s="40">
        <v>9000</v>
      </c>
    </row>
    <row r="28" spans="1:8" s="15" customFormat="1" ht="27.95" customHeight="1" x14ac:dyDescent="0.2">
      <c r="A28" s="1" t="s">
        <v>1440</v>
      </c>
      <c r="B28" s="43" t="s">
        <v>1185</v>
      </c>
      <c r="C28" s="46" t="s">
        <v>21</v>
      </c>
      <c r="D28" s="44" t="s">
        <v>214</v>
      </c>
      <c r="E28" s="47" t="s">
        <v>1198</v>
      </c>
      <c r="F28" s="46" t="s">
        <v>1200</v>
      </c>
      <c r="G28" s="35">
        <v>9000</v>
      </c>
      <c r="H28" s="40">
        <v>10000</v>
      </c>
    </row>
    <row r="29" spans="1:8" s="15" customFormat="1" ht="27.95" customHeight="1" x14ac:dyDescent="0.2">
      <c r="A29" s="1" t="s">
        <v>1440</v>
      </c>
      <c r="B29" s="43" t="s">
        <v>220</v>
      </c>
      <c r="C29" s="46" t="s">
        <v>46</v>
      </c>
      <c r="D29" s="44" t="s">
        <v>83</v>
      </c>
      <c r="E29" s="34">
        <v>4203</v>
      </c>
      <c r="F29" s="46" t="s">
        <v>238</v>
      </c>
      <c r="G29" s="35">
        <v>9138</v>
      </c>
      <c r="H29" s="40">
        <v>9138</v>
      </c>
    </row>
    <row r="30" spans="1:8" s="15" customFormat="1" ht="27.95" customHeight="1" x14ac:dyDescent="0.2">
      <c r="A30" s="1" t="s">
        <v>1440</v>
      </c>
      <c r="B30" s="43" t="s">
        <v>1191</v>
      </c>
      <c r="C30" s="46" t="s">
        <v>46</v>
      </c>
      <c r="D30" s="44" t="s">
        <v>1196</v>
      </c>
      <c r="E30" s="34">
        <v>5746</v>
      </c>
      <c r="F30" s="46" t="s">
        <v>1206</v>
      </c>
      <c r="G30" s="35">
        <v>9196</v>
      </c>
      <c r="H30" s="40">
        <v>9196</v>
      </c>
    </row>
    <row r="31" spans="1:8" s="15" customFormat="1" ht="27.95" customHeight="1" x14ac:dyDescent="0.2">
      <c r="A31" s="1" t="s">
        <v>1440</v>
      </c>
      <c r="B31" s="43" t="s">
        <v>745</v>
      </c>
      <c r="C31" s="46" t="s">
        <v>46</v>
      </c>
      <c r="D31" s="44" t="s">
        <v>83</v>
      </c>
      <c r="E31" s="34">
        <v>4887</v>
      </c>
      <c r="F31" s="46" t="s">
        <v>238</v>
      </c>
      <c r="G31" s="35">
        <v>9355</v>
      </c>
      <c r="H31" s="40">
        <v>9355</v>
      </c>
    </row>
    <row r="32" spans="1:8" s="15" customFormat="1" ht="27.95" customHeight="1" x14ac:dyDescent="0.2">
      <c r="A32" s="1" t="s">
        <v>1440</v>
      </c>
      <c r="B32" s="43" t="s">
        <v>1290</v>
      </c>
      <c r="C32" s="46" t="s">
        <v>48</v>
      </c>
      <c r="D32" s="44" t="s">
        <v>1302</v>
      </c>
      <c r="E32" s="47">
        <v>5951</v>
      </c>
      <c r="F32" s="46" t="s">
        <v>1317</v>
      </c>
      <c r="G32" s="35">
        <v>9355</v>
      </c>
      <c r="H32" s="40">
        <v>9355</v>
      </c>
    </row>
    <row r="33" spans="1:8" s="15" customFormat="1" ht="27.95" customHeight="1" x14ac:dyDescent="0.2">
      <c r="A33" s="1" t="s">
        <v>1440</v>
      </c>
      <c r="B33" s="43" t="s">
        <v>1249</v>
      </c>
      <c r="C33" s="46" t="s">
        <v>48</v>
      </c>
      <c r="D33" s="44" t="s">
        <v>1010</v>
      </c>
      <c r="E33" s="47">
        <v>5807</v>
      </c>
      <c r="F33" s="46" t="s">
        <v>1240</v>
      </c>
      <c r="G33" s="35">
        <v>9500</v>
      </c>
      <c r="H33" s="40">
        <v>9500</v>
      </c>
    </row>
    <row r="34" spans="1:8" s="15" customFormat="1" ht="27.95" customHeight="1" x14ac:dyDescent="0.2">
      <c r="A34" s="1" t="s">
        <v>1440</v>
      </c>
      <c r="B34" s="43" t="s">
        <v>165</v>
      </c>
      <c r="C34" s="46" t="s">
        <v>48</v>
      </c>
      <c r="D34" s="44" t="s">
        <v>96</v>
      </c>
      <c r="E34" s="34">
        <v>4043</v>
      </c>
      <c r="F34" s="46" t="s">
        <v>193</v>
      </c>
      <c r="G34" s="35">
        <v>9688</v>
      </c>
      <c r="H34" s="40">
        <v>9688</v>
      </c>
    </row>
    <row r="35" spans="1:8" s="15" customFormat="1" ht="27.95" customHeight="1" x14ac:dyDescent="0.2">
      <c r="A35" s="1" t="s">
        <v>1440</v>
      </c>
      <c r="B35" s="43" t="s">
        <v>895</v>
      </c>
      <c r="C35" s="46" t="s">
        <v>45</v>
      </c>
      <c r="D35" s="44" t="s">
        <v>905</v>
      </c>
      <c r="E35" s="34">
        <v>4982</v>
      </c>
      <c r="F35" s="46" t="s">
        <v>911</v>
      </c>
      <c r="G35" s="35">
        <v>9802</v>
      </c>
      <c r="H35" s="40">
        <v>9802</v>
      </c>
    </row>
    <row r="36" spans="1:8" s="15" customFormat="1" ht="27.95" customHeight="1" x14ac:dyDescent="0.2">
      <c r="A36" s="1" t="s">
        <v>1440</v>
      </c>
      <c r="B36" s="43" t="s">
        <v>1265</v>
      </c>
      <c r="C36" s="46" t="s">
        <v>45</v>
      </c>
      <c r="D36" s="44" t="s">
        <v>905</v>
      </c>
      <c r="E36" s="47" t="s">
        <v>1270</v>
      </c>
      <c r="F36" s="46" t="s">
        <v>1275</v>
      </c>
      <c r="G36" s="35">
        <v>9802</v>
      </c>
      <c r="H36" s="40">
        <v>9802</v>
      </c>
    </row>
    <row r="37" spans="1:8" s="15" customFormat="1" ht="27.95" customHeight="1" x14ac:dyDescent="0.2">
      <c r="A37" s="1" t="s">
        <v>1440</v>
      </c>
      <c r="B37" s="43" t="s">
        <v>536</v>
      </c>
      <c r="C37" s="46" t="s">
        <v>50</v>
      </c>
      <c r="D37" s="44" t="s">
        <v>58</v>
      </c>
      <c r="E37" s="47">
        <v>4187</v>
      </c>
      <c r="F37" s="46" t="s">
        <v>567</v>
      </c>
      <c r="G37" s="35">
        <v>9825</v>
      </c>
      <c r="H37" s="40">
        <v>35000</v>
      </c>
    </row>
    <row r="38" spans="1:8" s="15" customFormat="1" ht="27.95" customHeight="1" x14ac:dyDescent="0.2">
      <c r="A38" s="1" t="s">
        <v>1440</v>
      </c>
      <c r="B38" s="43" t="s">
        <v>127</v>
      </c>
      <c r="C38" s="46" t="s">
        <v>17</v>
      </c>
      <c r="D38" s="45" t="s">
        <v>130</v>
      </c>
      <c r="E38" s="39">
        <v>4125</v>
      </c>
      <c r="F38" s="46" t="s">
        <v>129</v>
      </c>
      <c r="G38" s="35">
        <v>10000</v>
      </c>
      <c r="H38" s="40">
        <v>10000</v>
      </c>
    </row>
    <row r="39" spans="1:8" s="15" customFormat="1" ht="27.95" customHeight="1" x14ac:dyDescent="0.2">
      <c r="A39" s="1" t="s">
        <v>1440</v>
      </c>
      <c r="B39" s="43" t="s">
        <v>160</v>
      </c>
      <c r="C39" s="46" t="s">
        <v>48</v>
      </c>
      <c r="D39" s="44" t="s">
        <v>60</v>
      </c>
      <c r="E39" s="47">
        <v>4020</v>
      </c>
      <c r="F39" s="46" t="s">
        <v>188</v>
      </c>
      <c r="G39" s="49">
        <v>10000</v>
      </c>
      <c r="H39" s="50">
        <v>10000</v>
      </c>
    </row>
    <row r="40" spans="1:8" s="15" customFormat="1" ht="27.95" customHeight="1" x14ac:dyDescent="0.2">
      <c r="A40" s="1" t="s">
        <v>1440</v>
      </c>
      <c r="B40" s="43" t="s">
        <v>658</v>
      </c>
      <c r="C40" s="46" t="s">
        <v>18</v>
      </c>
      <c r="D40" s="44" t="s">
        <v>680</v>
      </c>
      <c r="E40" s="34">
        <v>4640</v>
      </c>
      <c r="F40" s="46" t="s">
        <v>677</v>
      </c>
      <c r="G40" s="35">
        <v>10000</v>
      </c>
      <c r="H40" s="40">
        <v>5000</v>
      </c>
    </row>
    <row r="41" spans="1:8" s="15" customFormat="1" ht="27.95" customHeight="1" x14ac:dyDescent="0.2">
      <c r="A41" s="1" t="s">
        <v>1440</v>
      </c>
      <c r="B41" s="43" t="s">
        <v>738</v>
      </c>
      <c r="C41" s="46" t="s">
        <v>18</v>
      </c>
      <c r="D41" s="44" t="s">
        <v>97</v>
      </c>
      <c r="E41" s="34">
        <v>4625</v>
      </c>
      <c r="F41" s="46" t="s">
        <v>749</v>
      </c>
      <c r="G41" s="35">
        <v>10000</v>
      </c>
      <c r="H41" s="40">
        <v>5000</v>
      </c>
    </row>
    <row r="42" spans="1:8" s="15" customFormat="1" ht="27.95" customHeight="1" x14ac:dyDescent="0.2">
      <c r="A42" s="1" t="s">
        <v>1440</v>
      </c>
      <c r="B42" s="43" t="s">
        <v>871</v>
      </c>
      <c r="C42" s="46" t="s">
        <v>17</v>
      </c>
      <c r="D42" s="44" t="s">
        <v>879</v>
      </c>
      <c r="E42" s="34">
        <v>4750</v>
      </c>
      <c r="F42" s="46" t="s">
        <v>875</v>
      </c>
      <c r="G42" s="35">
        <v>10000</v>
      </c>
      <c r="H42" s="40">
        <v>10000</v>
      </c>
    </row>
    <row r="43" spans="1:8" s="15" customFormat="1" ht="27.95" customHeight="1" x14ac:dyDescent="0.2">
      <c r="A43" s="1" t="s">
        <v>1440</v>
      </c>
      <c r="B43" s="43" t="s">
        <v>900</v>
      </c>
      <c r="C43" s="46" t="s">
        <v>18</v>
      </c>
      <c r="D43" s="44" t="s">
        <v>713</v>
      </c>
      <c r="E43" s="34">
        <v>5087</v>
      </c>
      <c r="F43" s="46" t="s">
        <v>916</v>
      </c>
      <c r="G43" s="35">
        <v>10000</v>
      </c>
      <c r="H43" s="40">
        <v>5000</v>
      </c>
    </row>
    <row r="44" spans="1:8" s="15" customFormat="1" ht="27.95" customHeight="1" x14ac:dyDescent="0.2">
      <c r="A44" s="1" t="s">
        <v>1440</v>
      </c>
      <c r="B44" s="43" t="s">
        <v>955</v>
      </c>
      <c r="C44" s="46" t="s">
        <v>18</v>
      </c>
      <c r="D44" s="44" t="s">
        <v>680</v>
      </c>
      <c r="E44" s="34">
        <v>5023</v>
      </c>
      <c r="F44" s="46" t="s">
        <v>961</v>
      </c>
      <c r="G44" s="35">
        <v>10000</v>
      </c>
      <c r="H44" s="40">
        <v>5000</v>
      </c>
    </row>
    <row r="45" spans="1:8" s="15" customFormat="1" ht="27.95" customHeight="1" x14ac:dyDescent="0.2">
      <c r="A45" s="1" t="s">
        <v>1440</v>
      </c>
      <c r="B45" s="43" t="s">
        <v>1160</v>
      </c>
      <c r="C45" s="46" t="s">
        <v>45</v>
      </c>
      <c r="D45" s="44" t="s">
        <v>119</v>
      </c>
      <c r="E45" s="47" t="s">
        <v>1166</v>
      </c>
      <c r="F45" s="46" t="s">
        <v>1169</v>
      </c>
      <c r="G45" s="35">
        <v>10000</v>
      </c>
      <c r="H45" s="40">
        <v>10500</v>
      </c>
    </row>
    <row r="46" spans="1:8" s="15" customFormat="1" ht="27.95" customHeight="1" x14ac:dyDescent="0.2">
      <c r="A46" s="1" t="s">
        <v>1440</v>
      </c>
      <c r="B46" s="43" t="s">
        <v>1348</v>
      </c>
      <c r="C46" s="46" t="s">
        <v>1349</v>
      </c>
      <c r="D46" s="44" t="s">
        <v>1353</v>
      </c>
      <c r="E46" s="47">
        <v>6176</v>
      </c>
      <c r="F46" s="46" t="s">
        <v>1358</v>
      </c>
      <c r="G46" s="35">
        <v>10000</v>
      </c>
      <c r="H46" s="40">
        <v>10000</v>
      </c>
    </row>
    <row r="47" spans="1:8" s="15" customFormat="1" ht="27.95" customHeight="1" x14ac:dyDescent="0.2">
      <c r="A47" s="1" t="s">
        <v>1440</v>
      </c>
      <c r="B47" s="43" t="s">
        <v>1208</v>
      </c>
      <c r="C47" s="46" t="s">
        <v>48</v>
      </c>
      <c r="D47" s="44" t="s">
        <v>1212</v>
      </c>
      <c r="E47" s="34">
        <v>5759</v>
      </c>
      <c r="F47" s="46" t="s">
        <v>1216</v>
      </c>
      <c r="G47" s="35">
        <v>10025</v>
      </c>
      <c r="H47" s="40">
        <v>10025</v>
      </c>
    </row>
    <row r="48" spans="1:8" s="15" customFormat="1" ht="27.95" customHeight="1" x14ac:dyDescent="0.2">
      <c r="A48" s="1" t="s">
        <v>1440</v>
      </c>
      <c r="B48" s="43" t="s">
        <v>399</v>
      </c>
      <c r="C48" s="46" t="s">
        <v>92</v>
      </c>
      <c r="D48" s="44" t="s">
        <v>112</v>
      </c>
      <c r="E48" s="47" t="s">
        <v>420</v>
      </c>
      <c r="F48" s="46" t="s">
        <v>430</v>
      </c>
      <c r="G48" s="35">
        <v>10080</v>
      </c>
      <c r="H48" s="40">
        <v>10080</v>
      </c>
    </row>
    <row r="49" spans="1:8" s="15" customFormat="1" ht="27.95" customHeight="1" x14ac:dyDescent="0.2">
      <c r="A49" s="1" t="s">
        <v>1440</v>
      </c>
      <c r="B49" s="43" t="s">
        <v>1321</v>
      </c>
      <c r="C49" s="46" t="s">
        <v>48</v>
      </c>
      <c r="D49" s="44" t="s">
        <v>1212</v>
      </c>
      <c r="E49" s="47">
        <v>6111</v>
      </c>
      <c r="F49" s="46" t="s">
        <v>1333</v>
      </c>
      <c r="G49" s="35">
        <v>10136</v>
      </c>
      <c r="H49" s="40">
        <v>10136</v>
      </c>
    </row>
    <row r="50" spans="1:8" s="15" customFormat="1" ht="27.95" customHeight="1" x14ac:dyDescent="0.2">
      <c r="A50" s="1" t="s">
        <v>1440</v>
      </c>
      <c r="B50" s="43" t="s">
        <v>218</v>
      </c>
      <c r="C50" s="46" t="s">
        <v>39</v>
      </c>
      <c r="D50" s="44" t="s">
        <v>230</v>
      </c>
      <c r="E50" s="34">
        <v>4201</v>
      </c>
      <c r="F50" s="46" t="s">
        <v>236</v>
      </c>
      <c r="G50" s="35">
        <v>10138</v>
      </c>
      <c r="H50" s="40">
        <v>10138</v>
      </c>
    </row>
    <row r="51" spans="1:8" s="15" customFormat="1" ht="27.95" customHeight="1" x14ac:dyDescent="0.2">
      <c r="A51" s="1" t="s">
        <v>1440</v>
      </c>
      <c r="B51" s="43" t="s">
        <v>1254</v>
      </c>
      <c r="C51" s="46" t="s">
        <v>48</v>
      </c>
      <c r="D51" s="44" t="s">
        <v>1234</v>
      </c>
      <c r="E51" s="47">
        <v>5827</v>
      </c>
      <c r="F51" s="46" t="s">
        <v>1244</v>
      </c>
      <c r="G51" s="35">
        <v>10205</v>
      </c>
      <c r="H51" s="40">
        <v>10205</v>
      </c>
    </row>
    <row r="52" spans="1:8" s="15" customFormat="1" ht="27.95" customHeight="1" x14ac:dyDescent="0.2">
      <c r="A52" s="1" t="s">
        <v>1440</v>
      </c>
      <c r="B52" s="43" t="s">
        <v>1209</v>
      </c>
      <c r="C52" s="46" t="s">
        <v>48</v>
      </c>
      <c r="D52" s="44" t="s">
        <v>1213</v>
      </c>
      <c r="E52" s="34">
        <v>5762</v>
      </c>
      <c r="F52" s="46" t="s">
        <v>1217</v>
      </c>
      <c r="G52" s="35">
        <v>10500</v>
      </c>
      <c r="H52" s="40">
        <v>10500</v>
      </c>
    </row>
    <row r="53" spans="1:8" s="15" customFormat="1" ht="27.95" customHeight="1" x14ac:dyDescent="0.2">
      <c r="A53" s="1" t="s">
        <v>1440</v>
      </c>
      <c r="B53" s="43" t="s">
        <v>535</v>
      </c>
      <c r="C53" s="46" t="s">
        <v>26</v>
      </c>
      <c r="D53" s="44" t="s">
        <v>102</v>
      </c>
      <c r="E53" s="47">
        <v>4522</v>
      </c>
      <c r="F53" s="46" t="s">
        <v>566</v>
      </c>
      <c r="G53" s="35">
        <v>10542</v>
      </c>
      <c r="H53" s="40">
        <v>10542</v>
      </c>
    </row>
    <row r="54" spans="1:8" s="15" customFormat="1" ht="27.95" customHeight="1" x14ac:dyDescent="0.2">
      <c r="A54" s="1" t="s">
        <v>1440</v>
      </c>
      <c r="B54" s="43" t="s">
        <v>437</v>
      </c>
      <c r="C54" s="46" t="s">
        <v>40</v>
      </c>
      <c r="D54" s="44" t="s">
        <v>453</v>
      </c>
      <c r="E54" s="47">
        <v>4388</v>
      </c>
      <c r="F54" s="46" t="s">
        <v>463</v>
      </c>
      <c r="G54" s="35">
        <v>10750</v>
      </c>
      <c r="H54" s="40">
        <v>10750</v>
      </c>
    </row>
    <row r="55" spans="1:8" s="15" customFormat="1" ht="27.95" customHeight="1" x14ac:dyDescent="0.2">
      <c r="A55" s="1" t="s">
        <v>1440</v>
      </c>
      <c r="B55" s="43" t="s">
        <v>400</v>
      </c>
      <c r="C55" s="46" t="s">
        <v>92</v>
      </c>
      <c r="D55" s="44" t="s">
        <v>414</v>
      </c>
      <c r="E55" s="34">
        <v>4287</v>
      </c>
      <c r="F55" s="46" t="s">
        <v>431</v>
      </c>
      <c r="G55" s="35">
        <f>5379*2</f>
        <v>10758</v>
      </c>
      <c r="H55" s="40">
        <f>5379*2</f>
        <v>10758</v>
      </c>
    </row>
    <row r="56" spans="1:8" s="15" customFormat="1" ht="27.95" customHeight="1" x14ac:dyDescent="0.2">
      <c r="A56" s="1" t="s">
        <v>1440</v>
      </c>
      <c r="B56" s="43" t="s">
        <v>971</v>
      </c>
      <c r="C56" s="46" t="s">
        <v>40</v>
      </c>
      <c r="D56" s="44" t="s">
        <v>975</v>
      </c>
      <c r="E56" s="34">
        <v>5128</v>
      </c>
      <c r="F56" s="46" t="s">
        <v>977</v>
      </c>
      <c r="G56" s="35">
        <v>10800</v>
      </c>
      <c r="H56" s="40">
        <v>10800</v>
      </c>
    </row>
    <row r="57" spans="1:8" s="15" customFormat="1" ht="27.95" customHeight="1" x14ac:dyDescent="0.2">
      <c r="A57" s="1" t="s">
        <v>1440</v>
      </c>
      <c r="B57" s="43" t="s">
        <v>222</v>
      </c>
      <c r="C57" s="46" t="s">
        <v>46</v>
      </c>
      <c r="D57" s="44" t="s">
        <v>88</v>
      </c>
      <c r="E57" s="34">
        <v>4206</v>
      </c>
      <c r="F57" s="46" t="s">
        <v>240</v>
      </c>
      <c r="G57" s="35">
        <v>10820</v>
      </c>
      <c r="H57" s="40">
        <v>10820</v>
      </c>
    </row>
    <row r="58" spans="1:8" s="15" customFormat="1" ht="27.95" customHeight="1" x14ac:dyDescent="0.2">
      <c r="A58" s="1" t="s">
        <v>1440</v>
      </c>
      <c r="B58" s="43" t="s">
        <v>922</v>
      </c>
      <c r="C58" s="46" t="s">
        <v>17</v>
      </c>
      <c r="D58" s="44" t="s">
        <v>927</v>
      </c>
      <c r="E58" s="34">
        <v>5032</v>
      </c>
      <c r="F58" s="46" t="s">
        <v>932</v>
      </c>
      <c r="G58" s="35">
        <v>11690</v>
      </c>
      <c r="H58" s="40">
        <v>11690</v>
      </c>
    </row>
    <row r="59" spans="1:8" s="15" customFormat="1" ht="27.95" customHeight="1" x14ac:dyDescent="0.2">
      <c r="A59" s="1" t="s">
        <v>1440</v>
      </c>
      <c r="B59" s="43" t="s">
        <v>1253</v>
      </c>
      <c r="C59" s="46" t="s">
        <v>39</v>
      </c>
      <c r="D59" s="44" t="s">
        <v>1233</v>
      </c>
      <c r="E59" s="47">
        <v>5824</v>
      </c>
      <c r="F59" s="46" t="s">
        <v>1245</v>
      </c>
      <c r="G59" s="35">
        <v>12189</v>
      </c>
      <c r="H59" s="40">
        <v>12189</v>
      </c>
    </row>
    <row r="60" spans="1:8" s="15" customFormat="1" ht="27.95" customHeight="1" x14ac:dyDescent="0.2">
      <c r="A60" s="1" t="s">
        <v>1440</v>
      </c>
      <c r="B60" s="43" t="s">
        <v>438</v>
      </c>
      <c r="C60" s="46" t="s">
        <v>40</v>
      </c>
      <c r="D60" s="44" t="s">
        <v>87</v>
      </c>
      <c r="E60" s="47">
        <v>4384</v>
      </c>
      <c r="F60" s="46" t="s">
        <v>464</v>
      </c>
      <c r="G60" s="35">
        <v>12500</v>
      </c>
      <c r="H60" s="40">
        <v>12500</v>
      </c>
    </row>
    <row r="61" spans="1:8" s="15" customFormat="1" ht="27.95" customHeight="1" x14ac:dyDescent="0.2">
      <c r="A61" s="1" t="s">
        <v>1440</v>
      </c>
      <c r="B61" s="43" t="s">
        <v>820</v>
      </c>
      <c r="C61" s="46" t="s">
        <v>48</v>
      </c>
      <c r="D61" s="44" t="s">
        <v>843</v>
      </c>
      <c r="E61" s="34">
        <v>4900</v>
      </c>
      <c r="F61" s="46" t="s">
        <v>860</v>
      </c>
      <c r="G61" s="35">
        <v>12500</v>
      </c>
      <c r="H61" s="40">
        <v>12500</v>
      </c>
    </row>
    <row r="62" spans="1:8" s="15" customFormat="1" ht="27.95" customHeight="1" x14ac:dyDescent="0.2">
      <c r="A62" s="1" t="s">
        <v>1440</v>
      </c>
      <c r="B62" s="43" t="s">
        <v>897</v>
      </c>
      <c r="C62" s="46" t="s">
        <v>46</v>
      </c>
      <c r="D62" s="44" t="s">
        <v>88</v>
      </c>
      <c r="E62" s="34">
        <v>5079</v>
      </c>
      <c r="F62" s="46" t="s">
        <v>913</v>
      </c>
      <c r="G62" s="35">
        <v>12723</v>
      </c>
      <c r="H62" s="40">
        <v>12723</v>
      </c>
    </row>
    <row r="63" spans="1:8" s="15" customFormat="1" ht="27.95" customHeight="1" x14ac:dyDescent="0.2">
      <c r="A63" s="1" t="s">
        <v>1440</v>
      </c>
      <c r="B63" s="43" t="s">
        <v>887</v>
      </c>
      <c r="C63" s="46" t="s">
        <v>17</v>
      </c>
      <c r="D63" s="44" t="s">
        <v>891</v>
      </c>
      <c r="E63" s="34">
        <v>4680</v>
      </c>
      <c r="F63" s="46" t="s">
        <v>882</v>
      </c>
      <c r="G63" s="35">
        <v>12885</v>
      </c>
      <c r="H63" s="40">
        <v>12885</v>
      </c>
    </row>
    <row r="64" spans="1:8" s="15" customFormat="1" ht="27.95" customHeight="1" x14ac:dyDescent="0.2">
      <c r="A64" s="1" t="s">
        <v>1440</v>
      </c>
      <c r="B64" s="43" t="s">
        <v>872</v>
      </c>
      <c r="C64" s="46" t="s">
        <v>39</v>
      </c>
      <c r="D64" s="44" t="s">
        <v>100</v>
      </c>
      <c r="E64" s="34">
        <v>4816</v>
      </c>
      <c r="F64" s="46" t="s">
        <v>101</v>
      </c>
      <c r="G64" s="35">
        <v>13000</v>
      </c>
      <c r="H64" s="40">
        <v>25000</v>
      </c>
    </row>
    <row r="65" spans="1:8" s="15" customFormat="1" ht="27.95" customHeight="1" x14ac:dyDescent="0.2">
      <c r="A65" s="1" t="s">
        <v>1440</v>
      </c>
      <c r="B65" s="43" t="s">
        <v>1322</v>
      </c>
      <c r="C65" s="46" t="s">
        <v>48</v>
      </c>
      <c r="D65" s="44" t="s">
        <v>1010</v>
      </c>
      <c r="E65" s="47">
        <v>6113</v>
      </c>
      <c r="F65" s="46" t="s">
        <v>1334</v>
      </c>
      <c r="G65" s="35">
        <v>13000</v>
      </c>
      <c r="H65" s="40">
        <v>13000</v>
      </c>
    </row>
    <row r="66" spans="1:8" s="15" customFormat="1" ht="27.95" customHeight="1" x14ac:dyDescent="0.2">
      <c r="A66" s="1" t="s">
        <v>1440</v>
      </c>
      <c r="B66" s="43" t="s">
        <v>1323</v>
      </c>
      <c r="C66" s="46" t="s">
        <v>48</v>
      </c>
      <c r="D66" s="44" t="s">
        <v>1234</v>
      </c>
      <c r="E66" s="47">
        <v>6121</v>
      </c>
      <c r="F66" s="46" t="s">
        <v>1335</v>
      </c>
      <c r="G66" s="35">
        <v>13400</v>
      </c>
      <c r="H66" s="40">
        <v>13400</v>
      </c>
    </row>
    <row r="67" spans="1:8" s="15" customFormat="1" ht="27.95" customHeight="1" x14ac:dyDescent="0.2">
      <c r="A67" s="1" t="s">
        <v>1440</v>
      </c>
      <c r="B67" s="43" t="s">
        <v>533</v>
      </c>
      <c r="C67" s="46" t="s">
        <v>48</v>
      </c>
      <c r="D67" s="44" t="s">
        <v>53</v>
      </c>
      <c r="E67" s="47">
        <v>4485</v>
      </c>
      <c r="F67" s="46" t="s">
        <v>564</v>
      </c>
      <c r="G67" s="35">
        <v>13535</v>
      </c>
      <c r="H67" s="40">
        <v>13535</v>
      </c>
    </row>
    <row r="68" spans="1:8" s="15" customFormat="1" ht="27.95" customHeight="1" x14ac:dyDescent="0.2">
      <c r="A68" s="1" t="s">
        <v>1440</v>
      </c>
      <c r="B68" s="43" t="s">
        <v>1375</v>
      </c>
      <c r="C68" s="46" t="s">
        <v>1128</v>
      </c>
      <c r="D68" s="44" t="s">
        <v>1378</v>
      </c>
      <c r="E68" s="47" t="s">
        <v>1381</v>
      </c>
      <c r="F68" s="46" t="s">
        <v>1384</v>
      </c>
      <c r="G68" s="35">
        <v>13915</v>
      </c>
      <c r="H68" s="40">
        <v>13915</v>
      </c>
    </row>
    <row r="69" spans="1:8" s="15" customFormat="1" ht="27.95" customHeight="1" x14ac:dyDescent="0.2">
      <c r="A69" s="1" t="s">
        <v>1440</v>
      </c>
      <c r="B69" s="43" t="s">
        <v>1390</v>
      </c>
      <c r="C69" s="46" t="s">
        <v>49</v>
      </c>
      <c r="D69" s="44" t="s">
        <v>1397</v>
      </c>
      <c r="E69" s="47">
        <v>6246</v>
      </c>
      <c r="F69" s="46" t="s">
        <v>1406</v>
      </c>
      <c r="G69" s="35">
        <f>7022*2</f>
        <v>14044</v>
      </c>
      <c r="H69" s="40">
        <f>7022*2</f>
        <v>14044</v>
      </c>
    </row>
    <row r="70" spans="1:8" s="15" customFormat="1" ht="27.95" customHeight="1" x14ac:dyDescent="0.2">
      <c r="A70" s="1" t="s">
        <v>1440</v>
      </c>
      <c r="B70" s="43" t="s">
        <v>1288</v>
      </c>
      <c r="C70" s="46" t="s">
        <v>46</v>
      </c>
      <c r="D70" s="44" t="s">
        <v>88</v>
      </c>
      <c r="E70" s="47">
        <v>5935</v>
      </c>
      <c r="F70" s="46" t="s">
        <v>1309</v>
      </c>
      <c r="G70" s="35">
        <v>14414</v>
      </c>
      <c r="H70" s="40">
        <v>14414</v>
      </c>
    </row>
    <row r="71" spans="1:8" s="15" customFormat="1" ht="27.95" customHeight="1" x14ac:dyDescent="0.2">
      <c r="A71" s="1" t="s">
        <v>1440</v>
      </c>
      <c r="B71" s="43" t="s">
        <v>741</v>
      </c>
      <c r="C71" s="46" t="s">
        <v>39</v>
      </c>
      <c r="D71" s="44" t="s">
        <v>759</v>
      </c>
      <c r="E71" s="34">
        <v>4779</v>
      </c>
      <c r="F71" s="46" t="s">
        <v>752</v>
      </c>
      <c r="G71" s="35">
        <v>14420</v>
      </c>
      <c r="H71" s="40">
        <v>14420</v>
      </c>
    </row>
    <row r="72" spans="1:8" s="15" customFormat="1" ht="27.95" customHeight="1" x14ac:dyDescent="0.2">
      <c r="A72" s="1" t="s">
        <v>1440</v>
      </c>
      <c r="B72" s="43" t="s">
        <v>660</v>
      </c>
      <c r="C72" s="46" t="s">
        <v>46</v>
      </c>
      <c r="D72" s="44" t="s">
        <v>82</v>
      </c>
      <c r="E72" s="34">
        <v>4609</v>
      </c>
      <c r="F72" s="46" t="s">
        <v>679</v>
      </c>
      <c r="G72" s="35">
        <v>14750</v>
      </c>
      <c r="H72" s="40">
        <v>14750</v>
      </c>
    </row>
    <row r="73" spans="1:8" s="15" customFormat="1" ht="27.95" customHeight="1" x14ac:dyDescent="0.2">
      <c r="A73" s="1" t="s">
        <v>1440</v>
      </c>
      <c r="B73" s="43" t="s">
        <v>491</v>
      </c>
      <c r="C73" s="46" t="s">
        <v>17</v>
      </c>
      <c r="D73" s="44" t="s">
        <v>502</v>
      </c>
      <c r="E73" s="47">
        <v>4330</v>
      </c>
      <c r="F73" s="46" t="s">
        <v>517</v>
      </c>
      <c r="G73" s="35">
        <v>14995</v>
      </c>
      <c r="H73" s="40">
        <v>14994</v>
      </c>
    </row>
    <row r="74" spans="1:8" s="15" customFormat="1" ht="27.95" customHeight="1" x14ac:dyDescent="0.2">
      <c r="A74" s="1" t="s">
        <v>1440</v>
      </c>
      <c r="B74" s="43" t="s">
        <v>224</v>
      </c>
      <c r="C74" s="46" t="s">
        <v>17</v>
      </c>
      <c r="D74" s="44" t="s">
        <v>233</v>
      </c>
      <c r="E74" s="34">
        <v>4233</v>
      </c>
      <c r="F74" s="46" t="s">
        <v>242</v>
      </c>
      <c r="G74" s="35">
        <v>15000</v>
      </c>
      <c r="H74" s="40">
        <v>15000</v>
      </c>
    </row>
    <row r="75" spans="1:8" s="15" customFormat="1" ht="27.95" customHeight="1" x14ac:dyDescent="0.2">
      <c r="A75" s="1" t="s">
        <v>1440</v>
      </c>
      <c r="B75" s="43" t="s">
        <v>318</v>
      </c>
      <c r="C75" s="46" t="s">
        <v>26</v>
      </c>
      <c r="D75" s="44" t="s">
        <v>32</v>
      </c>
      <c r="E75" s="47" t="s">
        <v>359</v>
      </c>
      <c r="F75" s="46" t="s">
        <v>382</v>
      </c>
      <c r="G75" s="35">
        <v>15000</v>
      </c>
      <c r="H75" s="40">
        <v>15000</v>
      </c>
    </row>
    <row r="76" spans="1:8" s="15" customFormat="1" ht="27.95" customHeight="1" x14ac:dyDescent="0.2">
      <c r="A76" s="1" t="s">
        <v>1440</v>
      </c>
      <c r="B76" s="43" t="s">
        <v>319</v>
      </c>
      <c r="C76" s="46" t="s">
        <v>26</v>
      </c>
      <c r="D76" s="44" t="s">
        <v>32</v>
      </c>
      <c r="E76" s="47" t="s">
        <v>360</v>
      </c>
      <c r="F76" s="46" t="s">
        <v>35</v>
      </c>
      <c r="G76" s="35">
        <v>15000</v>
      </c>
      <c r="H76" s="40">
        <v>15000</v>
      </c>
    </row>
    <row r="77" spans="1:8" s="15" customFormat="1" ht="27.95" customHeight="1" x14ac:dyDescent="0.2">
      <c r="A77" s="1" t="s">
        <v>1440</v>
      </c>
      <c r="B77" s="43" t="s">
        <v>322</v>
      </c>
      <c r="C77" s="46" t="s">
        <v>26</v>
      </c>
      <c r="D77" s="44" t="s">
        <v>345</v>
      </c>
      <c r="E77" s="47" t="s">
        <v>363</v>
      </c>
      <c r="F77" s="46" t="s">
        <v>35</v>
      </c>
      <c r="G77" s="35">
        <v>15000</v>
      </c>
      <c r="H77" s="40">
        <v>15000</v>
      </c>
    </row>
    <row r="78" spans="1:8" s="15" customFormat="1" ht="27.95" customHeight="1" x14ac:dyDescent="0.2">
      <c r="A78" s="1" t="s">
        <v>1440</v>
      </c>
      <c r="B78" s="43" t="s">
        <v>327</v>
      </c>
      <c r="C78" s="46" t="s">
        <v>26</v>
      </c>
      <c r="D78" s="44" t="s">
        <v>23</v>
      </c>
      <c r="E78" s="47" t="s">
        <v>368</v>
      </c>
      <c r="F78" s="46" t="s">
        <v>384</v>
      </c>
      <c r="G78" s="35">
        <v>15000</v>
      </c>
      <c r="H78" s="40">
        <v>15000</v>
      </c>
    </row>
    <row r="79" spans="1:8" s="15" customFormat="1" ht="27.95" customHeight="1" x14ac:dyDescent="0.2">
      <c r="A79" s="1" t="s">
        <v>1440</v>
      </c>
      <c r="B79" s="43" t="s">
        <v>405</v>
      </c>
      <c r="C79" s="46" t="s">
        <v>26</v>
      </c>
      <c r="D79" s="44" t="s">
        <v>25</v>
      </c>
      <c r="E79" s="47" t="s">
        <v>358</v>
      </c>
      <c r="F79" s="46" t="s">
        <v>436</v>
      </c>
      <c r="G79" s="35">
        <v>15000</v>
      </c>
      <c r="H79" s="40">
        <v>15000</v>
      </c>
    </row>
    <row r="80" spans="1:8" s="15" customFormat="1" ht="27.95" customHeight="1" x14ac:dyDescent="0.2">
      <c r="A80" s="1" t="s">
        <v>1440</v>
      </c>
      <c r="B80" s="43" t="s">
        <v>598</v>
      </c>
      <c r="C80" s="46" t="s">
        <v>17</v>
      </c>
      <c r="D80" s="44" t="s">
        <v>98</v>
      </c>
      <c r="E80" s="34">
        <v>4229</v>
      </c>
      <c r="F80" s="46" t="s">
        <v>661</v>
      </c>
      <c r="G80" s="35">
        <v>15000</v>
      </c>
      <c r="H80" s="40">
        <v>20000</v>
      </c>
    </row>
    <row r="81" spans="1:8" s="15" customFormat="1" ht="27.95" customHeight="1" x14ac:dyDescent="0.2">
      <c r="A81" s="1" t="s">
        <v>1440</v>
      </c>
      <c r="B81" s="43" t="s">
        <v>637</v>
      </c>
      <c r="C81" s="46" t="s">
        <v>48</v>
      </c>
      <c r="D81" s="44" t="s">
        <v>644</v>
      </c>
      <c r="E81" s="34">
        <v>4665</v>
      </c>
      <c r="F81" s="46" t="s">
        <v>649</v>
      </c>
      <c r="G81" s="35">
        <v>15000</v>
      </c>
      <c r="H81" s="40">
        <v>15000</v>
      </c>
    </row>
    <row r="82" spans="1:8" s="15" customFormat="1" ht="27.95" customHeight="1" x14ac:dyDescent="0.2">
      <c r="A82" s="1" t="s">
        <v>1440</v>
      </c>
      <c r="B82" s="43" t="s">
        <v>698</v>
      </c>
      <c r="C82" s="46" t="s">
        <v>18</v>
      </c>
      <c r="D82" s="44" t="s">
        <v>713</v>
      </c>
      <c r="E82" s="34">
        <v>4775</v>
      </c>
      <c r="F82" s="46" t="s">
        <v>705</v>
      </c>
      <c r="G82" s="35">
        <v>15000</v>
      </c>
      <c r="H82" s="40">
        <v>5000</v>
      </c>
    </row>
    <row r="83" spans="1:8" s="15" customFormat="1" ht="27.95" customHeight="1" x14ac:dyDescent="0.2">
      <c r="A83" s="1" t="s">
        <v>1440</v>
      </c>
      <c r="B83" s="43" t="s">
        <v>739</v>
      </c>
      <c r="C83" s="46" t="s">
        <v>75</v>
      </c>
      <c r="D83" s="44" t="s">
        <v>688</v>
      </c>
      <c r="E83" s="34">
        <v>4681</v>
      </c>
      <c r="F83" s="46" t="s">
        <v>750</v>
      </c>
      <c r="G83" s="35">
        <v>15000</v>
      </c>
      <c r="H83" s="40">
        <v>15000</v>
      </c>
    </row>
    <row r="84" spans="1:8" s="15" customFormat="1" ht="27.95" customHeight="1" x14ac:dyDescent="0.2">
      <c r="A84" s="1" t="s">
        <v>1440</v>
      </c>
      <c r="B84" s="43" t="s">
        <v>957</v>
      </c>
      <c r="C84" s="46" t="s">
        <v>18</v>
      </c>
      <c r="D84" s="44" t="s">
        <v>967</v>
      </c>
      <c r="E84" s="34">
        <v>4962</v>
      </c>
      <c r="F84" s="46" t="s">
        <v>962</v>
      </c>
      <c r="G84" s="35">
        <v>15000</v>
      </c>
      <c r="H84" s="40">
        <v>5000</v>
      </c>
    </row>
    <row r="85" spans="1:8" s="15" customFormat="1" ht="27.95" customHeight="1" x14ac:dyDescent="0.2">
      <c r="A85" s="1" t="s">
        <v>1440</v>
      </c>
      <c r="B85" s="43" t="s">
        <v>960</v>
      </c>
      <c r="C85" s="46" t="s">
        <v>40</v>
      </c>
      <c r="D85" s="44" t="s">
        <v>1046</v>
      </c>
      <c r="E85" s="34">
        <v>4853</v>
      </c>
      <c r="F85" s="46" t="s">
        <v>965</v>
      </c>
      <c r="G85" s="35">
        <v>15000</v>
      </c>
      <c r="H85" s="40">
        <v>15000</v>
      </c>
    </row>
    <row r="86" spans="1:8" s="15" customFormat="1" ht="27.95" customHeight="1" x14ac:dyDescent="0.2">
      <c r="A86" s="1" t="s">
        <v>1440</v>
      </c>
      <c r="B86" s="43" t="s">
        <v>1008</v>
      </c>
      <c r="C86" s="46" t="s">
        <v>18</v>
      </c>
      <c r="D86" s="44" t="s">
        <v>1013</v>
      </c>
      <c r="E86" s="34">
        <v>5187</v>
      </c>
      <c r="F86" s="46" t="s">
        <v>1018</v>
      </c>
      <c r="G86" s="35">
        <v>15000</v>
      </c>
      <c r="H86" s="40">
        <v>10000</v>
      </c>
    </row>
    <row r="87" spans="1:8" s="15" customFormat="1" ht="27.95" customHeight="1" x14ac:dyDescent="0.2">
      <c r="A87" s="1" t="s">
        <v>1440</v>
      </c>
      <c r="B87" s="43" t="s">
        <v>1051</v>
      </c>
      <c r="C87" s="46" t="s">
        <v>48</v>
      </c>
      <c r="D87" s="44" t="s">
        <v>1055</v>
      </c>
      <c r="E87" s="34">
        <v>5325</v>
      </c>
      <c r="F87" s="46" t="s">
        <v>1059</v>
      </c>
      <c r="G87" s="35">
        <v>15000</v>
      </c>
      <c r="H87" s="40">
        <v>15000</v>
      </c>
    </row>
    <row r="88" spans="1:8" s="15" customFormat="1" ht="27.95" customHeight="1" x14ac:dyDescent="0.2">
      <c r="A88" s="1" t="s">
        <v>1440</v>
      </c>
      <c r="B88" s="43" t="s">
        <v>1108</v>
      </c>
      <c r="C88" s="46" t="s">
        <v>18</v>
      </c>
      <c r="D88" s="44" t="s">
        <v>966</v>
      </c>
      <c r="E88" s="34">
        <v>5505</v>
      </c>
      <c r="F88" s="46" t="s">
        <v>1123</v>
      </c>
      <c r="G88" s="35">
        <v>15000</v>
      </c>
      <c r="H88" s="40">
        <v>5000</v>
      </c>
    </row>
    <row r="89" spans="1:8" s="15" customFormat="1" ht="27.95" customHeight="1" x14ac:dyDescent="0.2">
      <c r="A89" s="1" t="s">
        <v>1440</v>
      </c>
      <c r="B89" s="43" t="s">
        <v>1294</v>
      </c>
      <c r="C89" s="46" t="s">
        <v>18</v>
      </c>
      <c r="D89" s="44" t="s">
        <v>1299</v>
      </c>
      <c r="E89" s="47" t="s">
        <v>1307</v>
      </c>
      <c r="F89" s="46" t="s">
        <v>1313</v>
      </c>
      <c r="G89" s="35">
        <v>15000</v>
      </c>
      <c r="H89" s="40">
        <v>5000</v>
      </c>
    </row>
    <row r="90" spans="1:8" s="15" customFormat="1" ht="27.95" customHeight="1" x14ac:dyDescent="0.2">
      <c r="A90" s="1" t="s">
        <v>1440</v>
      </c>
      <c r="B90" s="43" t="s">
        <v>1295</v>
      </c>
      <c r="C90" s="46" t="s">
        <v>18</v>
      </c>
      <c r="D90" s="44" t="s">
        <v>1300</v>
      </c>
      <c r="E90" s="47" t="s">
        <v>1308</v>
      </c>
      <c r="F90" s="46" t="s">
        <v>1314</v>
      </c>
      <c r="G90" s="35">
        <v>15000</v>
      </c>
      <c r="H90" s="40">
        <v>10000</v>
      </c>
    </row>
    <row r="91" spans="1:8" s="15" customFormat="1" ht="27.95" customHeight="1" x14ac:dyDescent="0.2">
      <c r="A91" s="1" t="s">
        <v>1440</v>
      </c>
      <c r="B91" s="43" t="s">
        <v>1340</v>
      </c>
      <c r="C91" s="46" t="s">
        <v>46</v>
      </c>
      <c r="D91" s="44" t="s">
        <v>1000</v>
      </c>
      <c r="E91" s="47">
        <v>6062</v>
      </c>
      <c r="F91" s="46" t="s">
        <v>1003</v>
      </c>
      <c r="G91" s="35">
        <v>15000</v>
      </c>
      <c r="H91" s="40">
        <v>40000</v>
      </c>
    </row>
    <row r="92" spans="1:8" s="15" customFormat="1" ht="27.95" customHeight="1" x14ac:dyDescent="0.2">
      <c r="A92" s="1" t="s">
        <v>1440</v>
      </c>
      <c r="B92" s="43" t="s">
        <v>1387</v>
      </c>
      <c r="C92" s="46" t="s">
        <v>18</v>
      </c>
      <c r="D92" s="44" t="s">
        <v>1394</v>
      </c>
      <c r="E92" s="47" t="s">
        <v>1399</v>
      </c>
      <c r="F92" s="46" t="s">
        <v>1403</v>
      </c>
      <c r="G92" s="35">
        <v>15000</v>
      </c>
      <c r="H92" s="40">
        <v>5000</v>
      </c>
    </row>
    <row r="93" spans="1:8" s="15" customFormat="1" ht="27.95" customHeight="1" x14ac:dyDescent="0.2">
      <c r="A93" s="1" t="s">
        <v>1440</v>
      </c>
      <c r="B93" s="43" t="s">
        <v>1105</v>
      </c>
      <c r="C93" s="46" t="s">
        <v>48</v>
      </c>
      <c r="D93" s="44" t="s">
        <v>1113</v>
      </c>
      <c r="E93" s="34">
        <v>5494</v>
      </c>
      <c r="F93" s="46" t="s">
        <v>1120</v>
      </c>
      <c r="G93" s="35">
        <v>15003</v>
      </c>
      <c r="H93" s="40">
        <v>15003</v>
      </c>
    </row>
    <row r="94" spans="1:8" s="15" customFormat="1" ht="27.95" customHeight="1" x14ac:dyDescent="0.2">
      <c r="A94" s="1" t="s">
        <v>1440</v>
      </c>
      <c r="B94" s="43" t="s">
        <v>548</v>
      </c>
      <c r="C94" s="46" t="s">
        <v>66</v>
      </c>
      <c r="D94" s="44" t="s">
        <v>68</v>
      </c>
      <c r="E94" s="47">
        <v>4509</v>
      </c>
      <c r="F94" s="46" t="s">
        <v>578</v>
      </c>
      <c r="G94" s="35">
        <v>15093</v>
      </c>
      <c r="H94" s="40">
        <v>15093</v>
      </c>
    </row>
    <row r="95" spans="1:8" s="15" customFormat="1" ht="27.95" customHeight="1" x14ac:dyDescent="0.2">
      <c r="A95" s="1" t="s">
        <v>1440</v>
      </c>
      <c r="B95" s="43" t="s">
        <v>1251</v>
      </c>
      <c r="C95" s="46" t="s">
        <v>48</v>
      </c>
      <c r="D95" s="44" t="s">
        <v>1231</v>
      </c>
      <c r="E95" s="47">
        <v>5812</v>
      </c>
      <c r="F95" s="46" t="s">
        <v>1241</v>
      </c>
      <c r="G95" s="35">
        <v>15232</v>
      </c>
      <c r="H95" s="40">
        <v>15232</v>
      </c>
    </row>
    <row r="96" spans="1:8" s="15" customFormat="1" ht="27.95" customHeight="1" x14ac:dyDescent="0.2">
      <c r="A96" s="1" t="s">
        <v>1440</v>
      </c>
      <c r="B96" s="43" t="s">
        <v>1391</v>
      </c>
      <c r="C96" s="46" t="s">
        <v>66</v>
      </c>
      <c r="D96" s="44" t="s">
        <v>1093</v>
      </c>
      <c r="E96" s="47">
        <v>6252</v>
      </c>
      <c r="F96" s="46" t="s">
        <v>1407</v>
      </c>
      <c r="G96" s="35">
        <v>15699</v>
      </c>
      <c r="H96" s="40">
        <v>15699</v>
      </c>
    </row>
    <row r="97" spans="1:8" s="15" customFormat="1" ht="27.95" customHeight="1" x14ac:dyDescent="0.2">
      <c r="A97" s="1" t="s">
        <v>1440</v>
      </c>
      <c r="B97" s="43" t="s">
        <v>973</v>
      </c>
      <c r="C97" s="46" t="s">
        <v>17</v>
      </c>
      <c r="D97" s="44" t="s">
        <v>837</v>
      </c>
      <c r="E97" s="34">
        <v>5136</v>
      </c>
      <c r="F97" s="46" t="s">
        <v>979</v>
      </c>
      <c r="G97" s="35">
        <v>15700</v>
      </c>
      <c r="H97" s="40">
        <v>10000</v>
      </c>
    </row>
    <row r="98" spans="1:8" s="15" customFormat="1" ht="27.95" customHeight="1" x14ac:dyDescent="0.2">
      <c r="A98" s="1" t="s">
        <v>1440</v>
      </c>
      <c r="B98" s="43" t="s">
        <v>299</v>
      </c>
      <c r="C98" s="46" t="s">
        <v>17</v>
      </c>
      <c r="D98" s="44" t="s">
        <v>306</v>
      </c>
      <c r="E98" s="34">
        <v>4174</v>
      </c>
      <c r="F98" s="46" t="s">
        <v>312</v>
      </c>
      <c r="G98" s="35">
        <v>16000</v>
      </c>
      <c r="H98" s="40">
        <v>16000</v>
      </c>
    </row>
    <row r="99" spans="1:8" s="15" customFormat="1" ht="27.95" customHeight="1" x14ac:dyDescent="0.2">
      <c r="A99" s="1" t="s">
        <v>1440</v>
      </c>
      <c r="B99" s="43" t="s">
        <v>1392</v>
      </c>
      <c r="C99" s="46" t="s">
        <v>48</v>
      </c>
      <c r="D99" s="44" t="s">
        <v>1398</v>
      </c>
      <c r="E99" s="34">
        <v>6283</v>
      </c>
      <c r="F99" s="46" t="s">
        <v>1408</v>
      </c>
      <c r="G99" s="35">
        <v>16200</v>
      </c>
      <c r="H99" s="40">
        <v>16200</v>
      </c>
    </row>
    <row r="100" spans="1:8" s="15" customFormat="1" ht="27.95" customHeight="1" x14ac:dyDescent="0.2">
      <c r="A100" s="1" t="s">
        <v>1440</v>
      </c>
      <c r="B100" s="43" t="s">
        <v>970</v>
      </c>
      <c r="C100" s="46" t="s">
        <v>17</v>
      </c>
      <c r="D100" s="44" t="s">
        <v>974</v>
      </c>
      <c r="E100" s="34">
        <v>5000</v>
      </c>
      <c r="F100" s="46" t="s">
        <v>980</v>
      </c>
      <c r="G100" s="35">
        <v>16350</v>
      </c>
      <c r="H100" s="40">
        <v>16350</v>
      </c>
    </row>
    <row r="101" spans="1:8" s="15" customFormat="1" ht="27.95" customHeight="1" x14ac:dyDescent="0.2">
      <c r="A101" s="1" t="s">
        <v>1440</v>
      </c>
      <c r="B101" s="43" t="s">
        <v>691</v>
      </c>
      <c r="C101" s="46" t="s">
        <v>76</v>
      </c>
      <c r="D101" s="44" t="s">
        <v>708</v>
      </c>
      <c r="E101" s="34">
        <v>4711</v>
      </c>
      <c r="F101" s="46" t="s">
        <v>700</v>
      </c>
      <c r="G101" s="35">
        <f>5500*3</f>
        <v>16500</v>
      </c>
      <c r="H101" s="40">
        <f>5500*3</f>
        <v>16500</v>
      </c>
    </row>
    <row r="102" spans="1:8" s="15" customFormat="1" ht="27.95" customHeight="1" x14ac:dyDescent="0.2">
      <c r="A102" s="1" t="s">
        <v>1440</v>
      </c>
      <c r="B102" s="43" t="s">
        <v>1086</v>
      </c>
      <c r="C102" s="46" t="s">
        <v>66</v>
      </c>
      <c r="D102" s="44" t="s">
        <v>1093</v>
      </c>
      <c r="E102" s="34">
        <v>5356</v>
      </c>
      <c r="F102" s="46" t="s">
        <v>1100</v>
      </c>
      <c r="G102" s="35">
        <f>5529*3</f>
        <v>16587</v>
      </c>
      <c r="H102" s="40">
        <f>5529*3</f>
        <v>16587</v>
      </c>
    </row>
    <row r="103" spans="1:8" s="15" customFormat="1" ht="27.95" customHeight="1" x14ac:dyDescent="0.2">
      <c r="A103" s="1" t="s">
        <v>1440</v>
      </c>
      <c r="B103" s="43" t="s">
        <v>898</v>
      </c>
      <c r="C103" s="46" t="s">
        <v>46</v>
      </c>
      <c r="D103" s="44" t="s">
        <v>907</v>
      </c>
      <c r="E103" s="34">
        <v>5080</v>
      </c>
      <c r="F103" s="46" t="s">
        <v>914</v>
      </c>
      <c r="G103" s="35">
        <v>16725</v>
      </c>
      <c r="H103" s="40">
        <v>16725</v>
      </c>
    </row>
    <row r="104" spans="1:8" s="15" customFormat="1" ht="27.95" customHeight="1" x14ac:dyDescent="0.2">
      <c r="A104" s="1" t="s">
        <v>1440</v>
      </c>
      <c r="B104" s="43" t="s">
        <v>1132</v>
      </c>
      <c r="C104" s="46" t="s">
        <v>21</v>
      </c>
      <c r="D104" s="44" t="s">
        <v>1137</v>
      </c>
      <c r="E104" s="34">
        <v>5581</v>
      </c>
      <c r="F104" s="46" t="s">
        <v>1139</v>
      </c>
      <c r="G104" s="35">
        <v>16740</v>
      </c>
      <c r="H104" s="40">
        <v>16740</v>
      </c>
    </row>
    <row r="105" spans="1:8" s="15" customFormat="1" ht="27.95" customHeight="1" x14ac:dyDescent="0.2">
      <c r="A105" s="1" t="s">
        <v>1440</v>
      </c>
      <c r="B105" s="43" t="s">
        <v>171</v>
      </c>
      <c r="C105" s="46" t="s">
        <v>21</v>
      </c>
      <c r="D105" s="44" t="s">
        <v>22</v>
      </c>
      <c r="E105" s="34">
        <v>4163</v>
      </c>
      <c r="F105" s="46" t="s">
        <v>199</v>
      </c>
      <c r="G105" s="35">
        <v>17000</v>
      </c>
      <c r="H105" s="40">
        <v>17000</v>
      </c>
    </row>
    <row r="106" spans="1:8" s="15" customFormat="1" ht="27.95" customHeight="1" x14ac:dyDescent="0.2">
      <c r="A106" s="1" t="s">
        <v>1440</v>
      </c>
      <c r="B106" s="43" t="s">
        <v>1207</v>
      </c>
      <c r="C106" s="46" t="s">
        <v>18</v>
      </c>
      <c r="D106" s="44" t="s">
        <v>713</v>
      </c>
      <c r="E106" s="47" t="s">
        <v>1215</v>
      </c>
      <c r="F106" s="46" t="s">
        <v>705</v>
      </c>
      <c r="G106" s="35">
        <v>17500</v>
      </c>
      <c r="H106" s="40">
        <v>5000</v>
      </c>
    </row>
    <row r="107" spans="1:8" s="15" customFormat="1" ht="27.95" customHeight="1" x14ac:dyDescent="0.2">
      <c r="A107" s="1" t="s">
        <v>1440</v>
      </c>
      <c r="B107" s="43" t="s">
        <v>1344</v>
      </c>
      <c r="C107" s="46" t="s">
        <v>1223</v>
      </c>
      <c r="D107" s="44" t="s">
        <v>1225</v>
      </c>
      <c r="E107" s="47">
        <v>5993</v>
      </c>
      <c r="F107" s="46" t="s">
        <v>1354</v>
      </c>
      <c r="G107" s="35">
        <v>17855</v>
      </c>
      <c r="H107" s="40">
        <v>17855</v>
      </c>
    </row>
    <row r="108" spans="1:8" s="15" customFormat="1" ht="27.95" customHeight="1" x14ac:dyDescent="0.2">
      <c r="A108" s="1" t="s">
        <v>1440</v>
      </c>
      <c r="B108" s="43" t="s">
        <v>1190</v>
      </c>
      <c r="C108" s="46" t="s">
        <v>40</v>
      </c>
      <c r="D108" s="44" t="s">
        <v>1195</v>
      </c>
      <c r="E108" s="34">
        <v>5736</v>
      </c>
      <c r="F108" s="46" t="s">
        <v>1205</v>
      </c>
      <c r="G108" s="35">
        <v>17876</v>
      </c>
      <c r="H108" s="40">
        <v>17876</v>
      </c>
    </row>
    <row r="109" spans="1:8" s="15" customFormat="1" ht="27.95" customHeight="1" x14ac:dyDescent="0.2">
      <c r="A109" s="1" t="s">
        <v>1440</v>
      </c>
      <c r="B109" s="43" t="s">
        <v>398</v>
      </c>
      <c r="C109" s="46" t="s">
        <v>92</v>
      </c>
      <c r="D109" s="44" t="s">
        <v>413</v>
      </c>
      <c r="E109" s="34">
        <v>3965</v>
      </c>
      <c r="F109" s="46" t="s">
        <v>429</v>
      </c>
      <c r="G109" s="35">
        <f>6000*3</f>
        <v>18000</v>
      </c>
      <c r="H109" s="40">
        <f>6000*3</f>
        <v>18000</v>
      </c>
    </row>
    <row r="110" spans="1:8" s="15" customFormat="1" ht="27.95" customHeight="1" x14ac:dyDescent="0.2">
      <c r="A110" s="1" t="s">
        <v>1440</v>
      </c>
      <c r="B110" s="43" t="s">
        <v>601</v>
      </c>
      <c r="C110" s="46" t="s">
        <v>75</v>
      </c>
      <c r="D110" s="44" t="s">
        <v>682</v>
      </c>
      <c r="E110" s="34">
        <v>4236</v>
      </c>
      <c r="F110" s="46" t="s">
        <v>664</v>
      </c>
      <c r="G110" s="35">
        <v>18000</v>
      </c>
      <c r="H110" s="40">
        <v>18000</v>
      </c>
    </row>
    <row r="111" spans="1:8" s="15" customFormat="1" ht="27.95" customHeight="1" x14ac:dyDescent="0.2">
      <c r="A111" s="1" t="s">
        <v>1440</v>
      </c>
      <c r="B111" s="43" t="s">
        <v>1022</v>
      </c>
      <c r="C111" s="46" t="s">
        <v>76</v>
      </c>
      <c r="D111" s="44" t="s">
        <v>1027</v>
      </c>
      <c r="E111" s="34">
        <v>4989</v>
      </c>
      <c r="F111" s="46" t="s">
        <v>1032</v>
      </c>
      <c r="G111" s="35">
        <f>6000*3</f>
        <v>18000</v>
      </c>
      <c r="H111" s="40">
        <f>6000*3</f>
        <v>18000</v>
      </c>
    </row>
    <row r="112" spans="1:8" s="15" customFormat="1" ht="27.95" customHeight="1" x14ac:dyDescent="0.2">
      <c r="A112" s="1" t="s">
        <v>1440</v>
      </c>
      <c r="B112" s="43" t="s">
        <v>1134</v>
      </c>
      <c r="C112" s="46" t="s">
        <v>39</v>
      </c>
      <c r="D112" s="44" t="s">
        <v>561</v>
      </c>
      <c r="E112" s="34">
        <v>5592</v>
      </c>
      <c r="F112" s="46" t="s">
        <v>1141</v>
      </c>
      <c r="G112" s="35">
        <f>6000+6000+6000</f>
        <v>18000</v>
      </c>
      <c r="H112" s="40">
        <v>10000</v>
      </c>
    </row>
    <row r="113" spans="1:8" s="15" customFormat="1" ht="27.95" customHeight="1" x14ac:dyDescent="0.2">
      <c r="A113" s="1" t="s">
        <v>1440</v>
      </c>
      <c r="B113" s="43" t="s">
        <v>1291</v>
      </c>
      <c r="C113" s="46" t="s">
        <v>20</v>
      </c>
      <c r="D113" s="44" t="s">
        <v>1303</v>
      </c>
      <c r="E113" s="47" t="s">
        <v>1306</v>
      </c>
      <c r="F113" s="46" t="s">
        <v>1310</v>
      </c>
      <c r="G113" s="35">
        <f>6000*3</f>
        <v>18000</v>
      </c>
      <c r="H113" s="40">
        <v>25000</v>
      </c>
    </row>
    <row r="114" spans="1:8" s="15" customFormat="1" ht="27.95" customHeight="1" x14ac:dyDescent="0.2">
      <c r="A114" s="1" t="s">
        <v>1440</v>
      </c>
      <c r="B114" s="43" t="s">
        <v>1064</v>
      </c>
      <c r="C114" s="46" t="s">
        <v>39</v>
      </c>
      <c r="D114" s="44" t="s">
        <v>1070</v>
      </c>
      <c r="E114" s="34">
        <v>5363</v>
      </c>
      <c r="F114" s="46" t="s">
        <v>1077</v>
      </c>
      <c r="G114" s="35">
        <v>18123</v>
      </c>
      <c r="H114" s="40">
        <v>18123</v>
      </c>
    </row>
    <row r="115" spans="1:8" s="15" customFormat="1" ht="27.95" customHeight="1" x14ac:dyDescent="0.2">
      <c r="A115" s="1" t="s">
        <v>1440</v>
      </c>
      <c r="B115" s="43" t="s">
        <v>744</v>
      </c>
      <c r="C115" s="46" t="s">
        <v>39</v>
      </c>
      <c r="D115" s="44" t="s">
        <v>762</v>
      </c>
      <c r="E115" s="34">
        <v>4885</v>
      </c>
      <c r="F115" s="46" t="s">
        <v>756</v>
      </c>
      <c r="G115" s="35">
        <f>6100*3</f>
        <v>18300</v>
      </c>
      <c r="H115" s="40">
        <f>6100*3</f>
        <v>18300</v>
      </c>
    </row>
    <row r="116" spans="1:8" s="15" customFormat="1" ht="27.95" customHeight="1" x14ac:dyDescent="0.2">
      <c r="A116" s="1" t="s">
        <v>1440</v>
      </c>
      <c r="B116" s="43" t="s">
        <v>228</v>
      </c>
      <c r="C116" s="46" t="s">
        <v>46</v>
      </c>
      <c r="D116" s="44" t="s">
        <v>52</v>
      </c>
      <c r="E116" s="34">
        <v>4212</v>
      </c>
      <c r="F116" s="46" t="s">
        <v>246</v>
      </c>
      <c r="G116" s="35">
        <v>18487</v>
      </c>
      <c r="H116" s="40">
        <v>18487</v>
      </c>
    </row>
    <row r="117" spans="1:8" s="15" customFormat="1" ht="27.95" customHeight="1" x14ac:dyDescent="0.2">
      <c r="A117" s="1" t="s">
        <v>1440</v>
      </c>
      <c r="B117" s="43" t="s">
        <v>402</v>
      </c>
      <c r="C117" s="46" t="s">
        <v>46</v>
      </c>
      <c r="D117" s="44" t="s">
        <v>52</v>
      </c>
      <c r="E117" s="34">
        <v>4210</v>
      </c>
      <c r="F117" s="46" t="s">
        <v>433</v>
      </c>
      <c r="G117" s="35">
        <v>18487</v>
      </c>
      <c r="H117" s="40">
        <v>18487</v>
      </c>
    </row>
    <row r="118" spans="1:8" s="15" customFormat="1" ht="27.95" customHeight="1" x14ac:dyDescent="0.2">
      <c r="A118" s="1" t="s">
        <v>1440</v>
      </c>
      <c r="B118" s="43" t="s">
        <v>537</v>
      </c>
      <c r="C118" s="46" t="s">
        <v>46</v>
      </c>
      <c r="D118" s="44" t="s">
        <v>52</v>
      </c>
      <c r="E118" s="47">
        <v>4471</v>
      </c>
      <c r="F118" s="46" t="s">
        <v>568</v>
      </c>
      <c r="G118" s="35">
        <v>18487</v>
      </c>
      <c r="H118" s="40">
        <v>18487</v>
      </c>
    </row>
    <row r="119" spans="1:8" s="15" customFormat="1" ht="27.95" customHeight="1" x14ac:dyDescent="0.2">
      <c r="A119" s="1" t="s">
        <v>1440</v>
      </c>
      <c r="B119" s="43" t="s">
        <v>1187</v>
      </c>
      <c r="C119" s="46" t="s">
        <v>40</v>
      </c>
      <c r="D119" s="44" t="s">
        <v>975</v>
      </c>
      <c r="E119" s="34">
        <v>5622</v>
      </c>
      <c r="F119" s="46" t="s">
        <v>1202</v>
      </c>
      <c r="G119" s="35">
        <v>18750</v>
      </c>
      <c r="H119" s="40">
        <v>18750</v>
      </c>
    </row>
    <row r="120" spans="1:8" s="15" customFormat="1" ht="27.95" customHeight="1" x14ac:dyDescent="0.2">
      <c r="A120" s="1" t="s">
        <v>1440</v>
      </c>
      <c r="B120" s="43" t="s">
        <v>1136</v>
      </c>
      <c r="C120" s="46" t="s">
        <v>48</v>
      </c>
      <c r="D120" s="44" t="s">
        <v>60</v>
      </c>
      <c r="E120" s="34">
        <v>5616</v>
      </c>
      <c r="F120" s="46" t="s">
        <v>1143</v>
      </c>
      <c r="G120" s="35">
        <v>19068</v>
      </c>
      <c r="H120" s="40">
        <v>19068</v>
      </c>
    </row>
    <row r="121" spans="1:8" s="15" customFormat="1" ht="27.95" customHeight="1" x14ac:dyDescent="0.2">
      <c r="A121" s="1" t="s">
        <v>1440</v>
      </c>
      <c r="B121" s="43" t="s">
        <v>227</v>
      </c>
      <c r="C121" s="46" t="s">
        <v>39</v>
      </c>
      <c r="D121" s="44" t="s">
        <v>235</v>
      </c>
      <c r="E121" s="34">
        <v>4218</v>
      </c>
      <c r="F121" s="46" t="s">
        <v>245</v>
      </c>
      <c r="G121" s="35">
        <f>6500*3</f>
        <v>19500</v>
      </c>
      <c r="H121" s="40">
        <f>6500*3</f>
        <v>19500</v>
      </c>
    </row>
    <row r="122" spans="1:8" s="15" customFormat="1" ht="27.95" customHeight="1" x14ac:dyDescent="0.2">
      <c r="A122" s="1" t="s">
        <v>1440</v>
      </c>
      <c r="B122" s="43" t="s">
        <v>959</v>
      </c>
      <c r="C122" s="46" t="s">
        <v>40</v>
      </c>
      <c r="D122" s="44" t="s">
        <v>969</v>
      </c>
      <c r="E122" s="34">
        <v>5129</v>
      </c>
      <c r="F122" s="46" t="s">
        <v>964</v>
      </c>
      <c r="G122" s="35">
        <f>6500*3</f>
        <v>19500</v>
      </c>
      <c r="H122" s="40">
        <f>6500*3</f>
        <v>19500</v>
      </c>
    </row>
    <row r="123" spans="1:8" s="15" customFormat="1" ht="27.95" customHeight="1" x14ac:dyDescent="0.2">
      <c r="A123" s="1" t="s">
        <v>1440</v>
      </c>
      <c r="B123" s="43" t="s">
        <v>157</v>
      </c>
      <c r="C123" s="46" t="s">
        <v>18</v>
      </c>
      <c r="D123" s="44" t="s">
        <v>210</v>
      </c>
      <c r="E123" s="47">
        <v>3968</v>
      </c>
      <c r="F123" s="46" t="s">
        <v>185</v>
      </c>
      <c r="G123" s="35">
        <v>20000</v>
      </c>
      <c r="H123" s="40">
        <v>20000</v>
      </c>
    </row>
    <row r="124" spans="1:8" s="15" customFormat="1" ht="27.95" customHeight="1" x14ac:dyDescent="0.2">
      <c r="A124" s="1" t="s">
        <v>1440</v>
      </c>
      <c r="B124" s="43" t="s">
        <v>161</v>
      </c>
      <c r="C124" s="46" t="s">
        <v>48</v>
      </c>
      <c r="D124" s="44" t="s">
        <v>58</v>
      </c>
      <c r="E124" s="47">
        <v>4028</v>
      </c>
      <c r="F124" s="46" t="s">
        <v>189</v>
      </c>
      <c r="G124" s="49">
        <v>20000</v>
      </c>
      <c r="H124" s="50">
        <v>49500</v>
      </c>
    </row>
    <row r="125" spans="1:8" s="15" customFormat="1" ht="27.95" customHeight="1" x14ac:dyDescent="0.2">
      <c r="A125" s="1" t="s">
        <v>1440</v>
      </c>
      <c r="B125" s="43" t="s">
        <v>305</v>
      </c>
      <c r="C125" s="46" t="s">
        <v>26</v>
      </c>
      <c r="D125" s="44" t="s">
        <v>342</v>
      </c>
      <c r="E125" s="47" t="s">
        <v>356</v>
      </c>
      <c r="F125" s="46" t="s">
        <v>276</v>
      </c>
      <c r="G125" s="35">
        <v>20000</v>
      </c>
      <c r="H125" s="40">
        <v>20000</v>
      </c>
    </row>
    <row r="126" spans="1:8" s="15" customFormat="1" ht="27.95" customHeight="1" x14ac:dyDescent="0.2">
      <c r="A126" s="1" t="s">
        <v>1440</v>
      </c>
      <c r="B126" s="43" t="s">
        <v>317</v>
      </c>
      <c r="C126" s="46" t="s">
        <v>26</v>
      </c>
      <c r="D126" s="44" t="s">
        <v>343</v>
      </c>
      <c r="E126" s="47" t="s">
        <v>357</v>
      </c>
      <c r="F126" s="46" t="s">
        <v>276</v>
      </c>
      <c r="G126" s="35">
        <v>20000</v>
      </c>
      <c r="H126" s="40">
        <v>20000</v>
      </c>
    </row>
    <row r="127" spans="1:8" s="15" customFormat="1" ht="27.95" customHeight="1" x14ac:dyDescent="0.2">
      <c r="A127" s="1" t="s">
        <v>1440</v>
      </c>
      <c r="B127" s="43" t="s">
        <v>321</v>
      </c>
      <c r="C127" s="46" t="s">
        <v>26</v>
      </c>
      <c r="D127" s="44" t="s">
        <v>344</v>
      </c>
      <c r="E127" s="47" t="s">
        <v>362</v>
      </c>
      <c r="F127" s="46" t="s">
        <v>33</v>
      </c>
      <c r="G127" s="35">
        <v>20000</v>
      </c>
      <c r="H127" s="40">
        <v>20000</v>
      </c>
    </row>
    <row r="128" spans="1:8" s="15" customFormat="1" ht="27.95" customHeight="1" x14ac:dyDescent="0.2">
      <c r="A128" s="1" t="s">
        <v>1440</v>
      </c>
      <c r="B128" s="43" t="s">
        <v>323</v>
      </c>
      <c r="C128" s="46" t="s">
        <v>26</v>
      </c>
      <c r="D128" s="44" t="s">
        <v>346</v>
      </c>
      <c r="E128" s="47" t="s">
        <v>364</v>
      </c>
      <c r="F128" s="46" t="s">
        <v>34</v>
      </c>
      <c r="G128" s="35">
        <v>20000</v>
      </c>
      <c r="H128" s="40">
        <v>20000</v>
      </c>
    </row>
    <row r="129" spans="1:8" s="15" customFormat="1" ht="27.95" customHeight="1" x14ac:dyDescent="0.2">
      <c r="A129" s="1" t="s">
        <v>1440</v>
      </c>
      <c r="B129" s="43" t="s">
        <v>324</v>
      </c>
      <c r="C129" s="46" t="s">
        <v>26</v>
      </c>
      <c r="D129" s="44" t="s">
        <v>347</v>
      </c>
      <c r="E129" s="47" t="s">
        <v>365</v>
      </c>
      <c r="F129" s="46" t="s">
        <v>35</v>
      </c>
      <c r="G129" s="35">
        <v>20000</v>
      </c>
      <c r="H129" s="40">
        <v>20000</v>
      </c>
    </row>
    <row r="130" spans="1:8" s="15" customFormat="1" ht="27.95" customHeight="1" x14ac:dyDescent="0.2">
      <c r="A130" s="1" t="s">
        <v>1440</v>
      </c>
      <c r="B130" s="43" t="s">
        <v>326</v>
      </c>
      <c r="C130" s="46" t="s">
        <v>26</v>
      </c>
      <c r="D130" s="44" t="s">
        <v>23</v>
      </c>
      <c r="E130" s="47" t="s">
        <v>367</v>
      </c>
      <c r="F130" s="46" t="s">
        <v>383</v>
      </c>
      <c r="G130" s="35">
        <v>20000</v>
      </c>
      <c r="H130" s="40">
        <v>20000</v>
      </c>
    </row>
    <row r="131" spans="1:8" s="15" customFormat="1" ht="27.95" customHeight="1" x14ac:dyDescent="0.2">
      <c r="A131" s="1" t="s">
        <v>1440</v>
      </c>
      <c r="B131" s="43" t="s">
        <v>328</v>
      </c>
      <c r="C131" s="46" t="s">
        <v>26</v>
      </c>
      <c r="D131" s="44" t="s">
        <v>23</v>
      </c>
      <c r="E131" s="47" t="s">
        <v>374</v>
      </c>
      <c r="F131" s="46" t="s">
        <v>33</v>
      </c>
      <c r="G131" s="35">
        <v>20000</v>
      </c>
      <c r="H131" s="40">
        <v>20000</v>
      </c>
    </row>
    <row r="132" spans="1:8" s="15" customFormat="1" ht="27.95" customHeight="1" x14ac:dyDescent="0.2">
      <c r="A132" s="1" t="s">
        <v>1440</v>
      </c>
      <c r="B132" s="43" t="s">
        <v>330</v>
      </c>
      <c r="C132" s="46" t="s">
        <v>26</v>
      </c>
      <c r="D132" s="44" t="s">
        <v>349</v>
      </c>
      <c r="E132" s="47" t="s">
        <v>376</v>
      </c>
      <c r="F132" s="46" t="s">
        <v>33</v>
      </c>
      <c r="G132" s="35">
        <v>20000</v>
      </c>
      <c r="H132" s="40">
        <v>20000</v>
      </c>
    </row>
    <row r="133" spans="1:8" s="15" customFormat="1" ht="27.95" customHeight="1" x14ac:dyDescent="0.2">
      <c r="A133" s="1" t="s">
        <v>1440</v>
      </c>
      <c r="B133" s="43" t="s">
        <v>332</v>
      </c>
      <c r="C133" s="46" t="s">
        <v>26</v>
      </c>
      <c r="D133" s="44" t="s">
        <v>95</v>
      </c>
      <c r="E133" s="47" t="s">
        <v>378</v>
      </c>
      <c r="F133" s="46" t="s">
        <v>33</v>
      </c>
      <c r="G133" s="35">
        <v>20000</v>
      </c>
      <c r="H133" s="40">
        <v>20000</v>
      </c>
    </row>
    <row r="134" spans="1:8" s="15" customFormat="1" ht="27.95" customHeight="1" x14ac:dyDescent="0.2">
      <c r="A134" s="1" t="s">
        <v>1440</v>
      </c>
      <c r="B134" s="43" t="s">
        <v>333</v>
      </c>
      <c r="C134" s="46" t="s">
        <v>26</v>
      </c>
      <c r="D134" s="44" t="s">
        <v>350</v>
      </c>
      <c r="E134" s="47" t="s">
        <v>379</v>
      </c>
      <c r="F134" s="46" t="s">
        <v>34</v>
      </c>
      <c r="G134" s="35">
        <v>20000</v>
      </c>
      <c r="H134" s="40">
        <v>20000</v>
      </c>
    </row>
    <row r="135" spans="1:8" s="15" customFormat="1" ht="27.95" customHeight="1" x14ac:dyDescent="0.2">
      <c r="A135" s="1" t="s">
        <v>1440</v>
      </c>
      <c r="B135" s="43" t="s">
        <v>335</v>
      </c>
      <c r="C135" s="46" t="s">
        <v>26</v>
      </c>
      <c r="D135" s="44" t="s">
        <v>351</v>
      </c>
      <c r="E135" s="47" t="s">
        <v>381</v>
      </c>
      <c r="F135" s="46" t="s">
        <v>35</v>
      </c>
      <c r="G135" s="35">
        <v>20000</v>
      </c>
      <c r="H135" s="40">
        <v>20000</v>
      </c>
    </row>
    <row r="136" spans="1:8" s="15" customFormat="1" ht="27.95" customHeight="1" x14ac:dyDescent="0.2">
      <c r="A136" s="1" t="s">
        <v>1440</v>
      </c>
      <c r="B136" s="43" t="s">
        <v>337</v>
      </c>
      <c r="C136" s="46" t="s">
        <v>26</v>
      </c>
      <c r="D136" s="44" t="s">
        <v>352</v>
      </c>
      <c r="E136" s="47" t="s">
        <v>370</v>
      </c>
      <c r="F136" s="46" t="s">
        <v>35</v>
      </c>
      <c r="G136" s="35">
        <v>20000</v>
      </c>
      <c r="H136" s="40">
        <v>20000</v>
      </c>
    </row>
    <row r="137" spans="1:8" s="15" customFormat="1" ht="27.95" customHeight="1" x14ac:dyDescent="0.2">
      <c r="A137" s="1" t="s">
        <v>1440</v>
      </c>
      <c r="B137" s="43" t="s">
        <v>338</v>
      </c>
      <c r="C137" s="46" t="s">
        <v>26</v>
      </c>
      <c r="D137" s="44" t="s">
        <v>353</v>
      </c>
      <c r="E137" s="47" t="s">
        <v>41</v>
      </c>
      <c r="F137" s="46" t="s">
        <v>386</v>
      </c>
      <c r="G137" s="35">
        <v>20000</v>
      </c>
      <c r="H137" s="40">
        <v>20000</v>
      </c>
    </row>
    <row r="138" spans="1:8" s="15" customFormat="1" ht="27.95" customHeight="1" x14ac:dyDescent="0.2">
      <c r="A138" s="1" t="s">
        <v>1440</v>
      </c>
      <c r="B138" s="43" t="s">
        <v>340</v>
      </c>
      <c r="C138" s="46" t="s">
        <v>26</v>
      </c>
      <c r="D138" s="44" t="s">
        <v>354</v>
      </c>
      <c r="E138" s="47" t="s">
        <v>372</v>
      </c>
      <c r="F138" s="46" t="s">
        <v>33</v>
      </c>
      <c r="G138" s="35">
        <v>20000</v>
      </c>
      <c r="H138" s="40">
        <v>20000</v>
      </c>
    </row>
    <row r="139" spans="1:8" s="15" customFormat="1" ht="27.95" customHeight="1" x14ac:dyDescent="0.2">
      <c r="A139" s="1" t="s">
        <v>1440</v>
      </c>
      <c r="B139" s="43" t="s">
        <v>341</v>
      </c>
      <c r="C139" s="46" t="s">
        <v>26</v>
      </c>
      <c r="D139" s="44" t="s">
        <v>355</v>
      </c>
      <c r="E139" s="47" t="s">
        <v>373</v>
      </c>
      <c r="F139" s="46" t="s">
        <v>35</v>
      </c>
      <c r="G139" s="35">
        <v>20000</v>
      </c>
      <c r="H139" s="40">
        <v>20000</v>
      </c>
    </row>
    <row r="140" spans="1:8" s="15" customFormat="1" ht="27.95" customHeight="1" x14ac:dyDescent="0.2">
      <c r="A140" s="1" t="s">
        <v>1440</v>
      </c>
      <c r="B140" s="43" t="s">
        <v>440</v>
      </c>
      <c r="C140" s="46" t="s">
        <v>17</v>
      </c>
      <c r="D140" s="44" t="s">
        <v>38</v>
      </c>
      <c r="E140" s="47">
        <v>4363</v>
      </c>
      <c r="F140" s="46" t="s">
        <v>466</v>
      </c>
      <c r="G140" s="35">
        <v>20000</v>
      </c>
      <c r="H140" s="40">
        <v>20000</v>
      </c>
    </row>
    <row r="141" spans="1:8" s="15" customFormat="1" ht="27.95" customHeight="1" x14ac:dyDescent="0.2">
      <c r="A141" s="1" t="s">
        <v>1440</v>
      </c>
      <c r="B141" s="43" t="s">
        <v>581</v>
      </c>
      <c r="C141" s="46" t="s">
        <v>26</v>
      </c>
      <c r="D141" s="44" t="s">
        <v>586</v>
      </c>
      <c r="E141" s="47" t="s">
        <v>41</v>
      </c>
      <c r="F141" s="46" t="s">
        <v>584</v>
      </c>
      <c r="G141" s="35">
        <v>20000</v>
      </c>
      <c r="H141" s="40">
        <v>20000</v>
      </c>
    </row>
    <row r="142" spans="1:8" s="15" customFormat="1" ht="27.95" customHeight="1" x14ac:dyDescent="0.2">
      <c r="A142" s="1" t="s">
        <v>1440</v>
      </c>
      <c r="B142" s="43" t="s">
        <v>638</v>
      </c>
      <c r="C142" s="46" t="s">
        <v>48</v>
      </c>
      <c r="D142" s="44" t="s">
        <v>645</v>
      </c>
      <c r="E142" s="34">
        <v>4667</v>
      </c>
      <c r="F142" s="46" t="s">
        <v>650</v>
      </c>
      <c r="G142" s="35">
        <v>20000</v>
      </c>
      <c r="H142" s="40">
        <v>20000</v>
      </c>
    </row>
    <row r="143" spans="1:8" s="15" customFormat="1" ht="27.95" customHeight="1" x14ac:dyDescent="0.2">
      <c r="A143" s="1" t="s">
        <v>1440</v>
      </c>
      <c r="B143" s="43" t="s">
        <v>695</v>
      </c>
      <c r="C143" s="46" t="s">
        <v>48</v>
      </c>
      <c r="D143" s="44" t="s">
        <v>58</v>
      </c>
      <c r="E143" s="34">
        <v>4741</v>
      </c>
      <c r="F143" s="46" t="s">
        <v>189</v>
      </c>
      <c r="G143" s="35">
        <v>20000</v>
      </c>
      <c r="H143" s="40">
        <v>49500</v>
      </c>
    </row>
    <row r="144" spans="1:8" s="15" customFormat="1" ht="27.95" customHeight="1" x14ac:dyDescent="0.2">
      <c r="A144" s="1" t="s">
        <v>1440</v>
      </c>
      <c r="B144" s="43" t="s">
        <v>921</v>
      </c>
      <c r="C144" s="46" t="s">
        <v>18</v>
      </c>
      <c r="D144" s="44" t="s">
        <v>926</v>
      </c>
      <c r="E144" s="34">
        <v>5019</v>
      </c>
      <c r="F144" s="46" t="s">
        <v>931</v>
      </c>
      <c r="G144" s="35">
        <v>20000</v>
      </c>
      <c r="H144" s="40">
        <v>4999</v>
      </c>
    </row>
    <row r="145" spans="1:8" s="15" customFormat="1" ht="27.95" customHeight="1" x14ac:dyDescent="0.2">
      <c r="A145" s="1" t="s">
        <v>1440</v>
      </c>
      <c r="B145" s="43" t="s">
        <v>956</v>
      </c>
      <c r="C145" s="46" t="s">
        <v>18</v>
      </c>
      <c r="D145" s="44" t="s">
        <v>966</v>
      </c>
      <c r="E145" s="34">
        <v>4965</v>
      </c>
      <c r="F145" s="46" t="s">
        <v>962</v>
      </c>
      <c r="G145" s="35">
        <v>20000</v>
      </c>
      <c r="H145" s="40">
        <v>5000</v>
      </c>
    </row>
    <row r="146" spans="1:8" s="15" customFormat="1" ht="27.95" customHeight="1" x14ac:dyDescent="0.2">
      <c r="A146" s="1" t="s">
        <v>1440</v>
      </c>
      <c r="B146" s="43" t="s">
        <v>1389</v>
      </c>
      <c r="C146" s="46" t="s">
        <v>18</v>
      </c>
      <c r="D146" s="44" t="s">
        <v>1396</v>
      </c>
      <c r="E146" s="47" t="s">
        <v>1400</v>
      </c>
      <c r="F146" s="46" t="s">
        <v>1405</v>
      </c>
      <c r="G146" s="35">
        <v>20000</v>
      </c>
      <c r="H146" s="40">
        <v>5000</v>
      </c>
    </row>
    <row r="147" spans="1:8" s="15" customFormat="1" ht="27.95" customHeight="1" x14ac:dyDescent="0.2">
      <c r="A147" s="1" t="s">
        <v>1440</v>
      </c>
      <c r="B147" s="43" t="s">
        <v>1261</v>
      </c>
      <c r="C147" s="46" t="s">
        <v>1176</v>
      </c>
      <c r="D147" s="44" t="s">
        <v>1267</v>
      </c>
      <c r="E147" s="47" t="s">
        <v>41</v>
      </c>
      <c r="F147" s="46" t="s">
        <v>1272</v>
      </c>
      <c r="G147" s="35">
        <v>20500</v>
      </c>
      <c r="H147" s="40">
        <v>20500</v>
      </c>
    </row>
    <row r="148" spans="1:8" s="15" customFormat="1" ht="27.95" customHeight="1" x14ac:dyDescent="0.2">
      <c r="A148" s="1" t="s">
        <v>1440</v>
      </c>
      <c r="B148" s="43" t="s">
        <v>1293</v>
      </c>
      <c r="C148" s="46" t="s">
        <v>48</v>
      </c>
      <c r="D148" s="44" t="s">
        <v>1298</v>
      </c>
      <c r="E148" s="47">
        <v>5955</v>
      </c>
      <c r="F148" s="46" t="s">
        <v>1312</v>
      </c>
      <c r="G148" s="35">
        <v>20859</v>
      </c>
      <c r="H148" s="40">
        <v>20859</v>
      </c>
    </row>
    <row r="149" spans="1:8" s="15" customFormat="1" ht="27.95" customHeight="1" x14ac:dyDescent="0.2">
      <c r="A149" s="1" t="s">
        <v>1440</v>
      </c>
      <c r="B149" s="43" t="s">
        <v>147</v>
      </c>
      <c r="C149" s="46" t="s">
        <v>20</v>
      </c>
      <c r="D149" s="44" t="s">
        <v>205</v>
      </c>
      <c r="E149" s="47">
        <v>3798</v>
      </c>
      <c r="F149" s="46" t="s">
        <v>176</v>
      </c>
      <c r="G149" s="35">
        <f>7000*3</f>
        <v>21000</v>
      </c>
      <c r="H149" s="40">
        <f>7000*3</f>
        <v>21000</v>
      </c>
    </row>
    <row r="150" spans="1:8" s="15" customFormat="1" ht="27.95" customHeight="1" x14ac:dyDescent="0.2">
      <c r="A150" s="1" t="s">
        <v>1440</v>
      </c>
      <c r="B150" s="43" t="s">
        <v>1109</v>
      </c>
      <c r="C150" s="46" t="s">
        <v>17</v>
      </c>
      <c r="D150" s="44" t="s">
        <v>1114</v>
      </c>
      <c r="E150" s="34">
        <v>5508</v>
      </c>
      <c r="F150" s="46" t="s">
        <v>1124</v>
      </c>
      <c r="G150" s="35">
        <v>21000</v>
      </c>
      <c r="H150" s="40">
        <v>21000</v>
      </c>
    </row>
    <row r="151" spans="1:8" s="15" customFormat="1" ht="27.95" customHeight="1" x14ac:dyDescent="0.2">
      <c r="A151" s="1" t="s">
        <v>1440</v>
      </c>
      <c r="B151" s="43" t="s">
        <v>1255</v>
      </c>
      <c r="C151" s="46" t="s">
        <v>20</v>
      </c>
      <c r="D151" s="44" t="s">
        <v>1235</v>
      </c>
      <c r="E151" s="47" t="s">
        <v>1236</v>
      </c>
      <c r="F151" s="46" t="s">
        <v>1243</v>
      </c>
      <c r="G151" s="35">
        <f>7000*3</f>
        <v>21000</v>
      </c>
      <c r="H151" s="40">
        <v>10000</v>
      </c>
    </row>
    <row r="152" spans="1:8" s="15" customFormat="1" ht="27.95" customHeight="1" x14ac:dyDescent="0.2">
      <c r="A152" s="1" t="s">
        <v>1440</v>
      </c>
      <c r="B152" s="43" t="s">
        <v>640</v>
      </c>
      <c r="C152" s="46" t="s">
        <v>46</v>
      </c>
      <c r="D152" s="44" t="s">
        <v>121</v>
      </c>
      <c r="E152" s="34">
        <v>4642</v>
      </c>
      <c r="F152" s="46" t="s">
        <v>653</v>
      </c>
      <c r="G152" s="35">
        <v>21304</v>
      </c>
      <c r="H152" s="40">
        <v>21304</v>
      </c>
    </row>
    <row r="153" spans="1:8" s="15" customFormat="1" ht="27.95" customHeight="1" x14ac:dyDescent="0.2">
      <c r="A153" s="1" t="s">
        <v>1440</v>
      </c>
      <c r="B153" s="43" t="s">
        <v>300</v>
      </c>
      <c r="C153" s="46" t="s">
        <v>67</v>
      </c>
      <c r="D153" s="44" t="s">
        <v>307</v>
      </c>
      <c r="E153" s="34">
        <v>4178</v>
      </c>
      <c r="F153" s="46" t="s">
        <v>313</v>
      </c>
      <c r="G153" s="35">
        <v>22000</v>
      </c>
      <c r="H153" s="40">
        <v>22000</v>
      </c>
    </row>
    <row r="154" spans="1:8" s="15" customFormat="1" ht="27.95" customHeight="1" x14ac:dyDescent="0.2">
      <c r="A154" s="1" t="s">
        <v>1440</v>
      </c>
      <c r="B154" s="43" t="s">
        <v>602</v>
      </c>
      <c r="C154" s="46" t="s">
        <v>75</v>
      </c>
      <c r="D154" s="44" t="s">
        <v>682</v>
      </c>
      <c r="E154" s="34">
        <v>4608</v>
      </c>
      <c r="F154" s="46" t="s">
        <v>665</v>
      </c>
      <c r="G154" s="35">
        <v>22000</v>
      </c>
      <c r="H154" s="40">
        <v>22000</v>
      </c>
    </row>
    <row r="155" spans="1:8" s="15" customFormat="1" ht="27.95" customHeight="1" x14ac:dyDescent="0.2">
      <c r="A155" s="1" t="s">
        <v>1440</v>
      </c>
      <c r="B155" s="43" t="s">
        <v>449</v>
      </c>
      <c r="C155" s="46" t="s">
        <v>17</v>
      </c>
      <c r="D155" s="44" t="s">
        <v>461</v>
      </c>
      <c r="E155" s="47">
        <v>4284</v>
      </c>
      <c r="F155" s="46" t="s">
        <v>475</v>
      </c>
      <c r="G155" s="35">
        <f>7350*3</f>
        <v>22050</v>
      </c>
      <c r="H155" s="40">
        <f>7350*3</f>
        <v>22050</v>
      </c>
    </row>
    <row r="156" spans="1:8" s="15" customFormat="1" ht="27.95" customHeight="1" x14ac:dyDescent="0.2">
      <c r="A156" s="1" t="s">
        <v>1440</v>
      </c>
      <c r="B156" s="43" t="s">
        <v>746</v>
      </c>
      <c r="C156" s="46" t="s">
        <v>39</v>
      </c>
      <c r="D156" s="44" t="s">
        <v>763</v>
      </c>
      <c r="E156" s="34">
        <v>4910</v>
      </c>
      <c r="F156" s="46" t="s">
        <v>755</v>
      </c>
      <c r="G156" s="35">
        <f>6281+8000+8000</f>
        <v>22281</v>
      </c>
      <c r="H156" s="40">
        <f>6281+8000+8000</f>
        <v>22281</v>
      </c>
    </row>
    <row r="157" spans="1:8" s="15" customFormat="1" ht="27.95" customHeight="1" x14ac:dyDescent="0.2">
      <c r="A157" s="1" t="s">
        <v>1440</v>
      </c>
      <c r="B157" s="43" t="s">
        <v>487</v>
      </c>
      <c r="C157" s="46" t="s">
        <v>46</v>
      </c>
      <c r="D157" s="44" t="s">
        <v>498</v>
      </c>
      <c r="E157" s="47">
        <v>4414</v>
      </c>
      <c r="F157" s="46" t="s">
        <v>513</v>
      </c>
      <c r="G157" s="35">
        <f>7500*3</f>
        <v>22500</v>
      </c>
      <c r="H157" s="40">
        <f>7500*3</f>
        <v>22500</v>
      </c>
    </row>
    <row r="158" spans="1:8" s="15" customFormat="1" ht="27.95" customHeight="1" x14ac:dyDescent="0.2">
      <c r="A158" s="1" t="s">
        <v>1440</v>
      </c>
      <c r="B158" s="43" t="s">
        <v>692</v>
      </c>
      <c r="C158" s="46" t="s">
        <v>76</v>
      </c>
      <c r="D158" s="44" t="s">
        <v>709</v>
      </c>
      <c r="E158" s="34">
        <v>4713</v>
      </c>
      <c r="F158" s="46" t="s">
        <v>701</v>
      </c>
      <c r="G158" s="35">
        <f>7500*3</f>
        <v>22500</v>
      </c>
      <c r="H158" s="40">
        <f>7500*3</f>
        <v>22500</v>
      </c>
    </row>
    <row r="159" spans="1:8" s="15" customFormat="1" ht="27.95" customHeight="1" x14ac:dyDescent="0.2">
      <c r="A159" s="1" t="s">
        <v>1440</v>
      </c>
      <c r="B159" s="43" t="s">
        <v>919</v>
      </c>
      <c r="C159" s="46" t="s">
        <v>39</v>
      </c>
      <c r="D159" s="44" t="s">
        <v>230</v>
      </c>
      <c r="E159" s="34">
        <v>5157</v>
      </c>
      <c r="F159" s="46" t="s">
        <v>929</v>
      </c>
      <c r="G159" s="35">
        <v>22500</v>
      </c>
      <c r="H159" s="40">
        <v>22500</v>
      </c>
    </row>
    <row r="160" spans="1:8" s="15" customFormat="1" ht="27.95" customHeight="1" x14ac:dyDescent="0.2">
      <c r="A160" s="1" t="s">
        <v>1440</v>
      </c>
      <c r="B160" s="43" t="s">
        <v>1024</v>
      </c>
      <c r="C160" s="46" t="s">
        <v>76</v>
      </c>
      <c r="D160" s="44" t="s">
        <v>1028</v>
      </c>
      <c r="E160" s="34">
        <v>4726</v>
      </c>
      <c r="F160" s="46" t="s">
        <v>1034</v>
      </c>
      <c r="G160" s="35">
        <f>7500*3</f>
        <v>22500</v>
      </c>
      <c r="H160" s="40">
        <f>7500*3</f>
        <v>22500</v>
      </c>
    </row>
    <row r="161" spans="1:8" s="15" customFormat="1" ht="27.95" customHeight="1" x14ac:dyDescent="0.2">
      <c r="A161" s="1" t="s">
        <v>1440</v>
      </c>
      <c r="B161" s="43" t="s">
        <v>219</v>
      </c>
      <c r="C161" s="46" t="s">
        <v>46</v>
      </c>
      <c r="D161" s="44" t="s">
        <v>117</v>
      </c>
      <c r="E161" s="34">
        <v>4202</v>
      </c>
      <c r="F161" s="46" t="s">
        <v>237</v>
      </c>
      <c r="G161" s="35">
        <v>22890</v>
      </c>
      <c r="H161" s="40">
        <v>22890</v>
      </c>
    </row>
    <row r="162" spans="1:8" s="15" customFormat="1" ht="27.95" customHeight="1" x14ac:dyDescent="0.2">
      <c r="A162" s="1" t="s">
        <v>1440</v>
      </c>
      <c r="B162" s="43" t="s">
        <v>1248</v>
      </c>
      <c r="C162" s="46" t="s">
        <v>47</v>
      </c>
      <c r="D162" s="44" t="s">
        <v>791</v>
      </c>
      <c r="E162" s="47">
        <v>5769</v>
      </c>
      <c r="F162" s="46" t="s">
        <v>1239</v>
      </c>
      <c r="G162" s="35">
        <v>23000</v>
      </c>
      <c r="H162" s="40">
        <v>23000</v>
      </c>
    </row>
    <row r="163" spans="1:8" s="15" customFormat="1" ht="27.95" customHeight="1" x14ac:dyDescent="0.2">
      <c r="A163" s="1" t="s">
        <v>1440</v>
      </c>
      <c r="B163" s="43" t="s">
        <v>164</v>
      </c>
      <c r="C163" s="46" t="s">
        <v>48</v>
      </c>
      <c r="D163" s="44" t="s">
        <v>108</v>
      </c>
      <c r="E163" s="34">
        <v>4036</v>
      </c>
      <c r="F163" s="46" t="s">
        <v>192</v>
      </c>
      <c r="G163" s="35">
        <v>23100</v>
      </c>
      <c r="H163" s="40">
        <v>23100</v>
      </c>
    </row>
    <row r="164" spans="1:8" s="15" customFormat="1" ht="27.95" customHeight="1" x14ac:dyDescent="0.2">
      <c r="A164" s="1" t="s">
        <v>1440</v>
      </c>
      <c r="B164" s="43" t="s">
        <v>874</v>
      </c>
      <c r="C164" s="46" t="s">
        <v>39</v>
      </c>
      <c r="D164" s="44" t="s">
        <v>881</v>
      </c>
      <c r="E164" s="34">
        <v>5031</v>
      </c>
      <c r="F164" s="46" t="s">
        <v>876</v>
      </c>
      <c r="G164" s="35">
        <v>23688</v>
      </c>
      <c r="H164" s="40">
        <v>23688</v>
      </c>
    </row>
    <row r="165" spans="1:8" s="15" customFormat="1" ht="27.95" customHeight="1" x14ac:dyDescent="0.2">
      <c r="A165" s="1" t="s">
        <v>1440</v>
      </c>
      <c r="B165" s="43" t="s">
        <v>156</v>
      </c>
      <c r="C165" s="46" t="s">
        <v>17</v>
      </c>
      <c r="D165" s="44" t="s">
        <v>209</v>
      </c>
      <c r="E165" s="47">
        <v>3945</v>
      </c>
      <c r="F165" s="46" t="s">
        <v>184</v>
      </c>
      <c r="G165" s="35">
        <f>8000*3</f>
        <v>24000</v>
      </c>
      <c r="H165" s="40">
        <f>8000*3</f>
        <v>24000</v>
      </c>
    </row>
    <row r="166" spans="1:8" s="15" customFormat="1" ht="27.95" customHeight="1" x14ac:dyDescent="0.2">
      <c r="A166" s="1" t="s">
        <v>1440</v>
      </c>
      <c r="B166" s="43" t="s">
        <v>1373</v>
      </c>
      <c r="C166" s="46" t="s">
        <v>20</v>
      </c>
      <c r="D166" s="44" t="s">
        <v>1303</v>
      </c>
      <c r="E166" s="47" t="s">
        <v>1380</v>
      </c>
      <c r="F166" s="46" t="s">
        <v>1382</v>
      </c>
      <c r="G166" s="35">
        <f>8000*3</f>
        <v>24000</v>
      </c>
      <c r="H166" s="40">
        <v>25000</v>
      </c>
    </row>
    <row r="167" spans="1:8" s="15" customFormat="1" ht="27.95" customHeight="1" x14ac:dyDescent="0.2">
      <c r="A167" s="1" t="s">
        <v>1440</v>
      </c>
      <c r="B167" s="43" t="s">
        <v>1376</v>
      </c>
      <c r="C167" s="46" t="s">
        <v>75</v>
      </c>
      <c r="D167" s="44" t="s">
        <v>1379</v>
      </c>
      <c r="E167" s="34">
        <v>5948</v>
      </c>
      <c r="F167" s="46" t="s">
        <v>1385</v>
      </c>
      <c r="G167" s="35">
        <v>24000</v>
      </c>
      <c r="H167" s="40">
        <v>24000</v>
      </c>
    </row>
    <row r="168" spans="1:8" s="15" customFormat="1" ht="27.95" customHeight="1" x14ac:dyDescent="0.2">
      <c r="A168" s="1" t="s">
        <v>1440</v>
      </c>
      <c r="B168" s="43" t="s">
        <v>869</v>
      </c>
      <c r="C168" s="46" t="s">
        <v>47</v>
      </c>
      <c r="D168" s="44" t="s">
        <v>791</v>
      </c>
      <c r="E168" s="34">
        <v>4727</v>
      </c>
      <c r="F168" s="46" t="s">
        <v>877</v>
      </c>
      <c r="G168" s="35">
        <v>24425</v>
      </c>
      <c r="H168" s="40">
        <v>24425</v>
      </c>
    </row>
    <row r="169" spans="1:8" s="15" customFormat="1" ht="27.95" customHeight="1" x14ac:dyDescent="0.2">
      <c r="A169" s="1" t="s">
        <v>1440</v>
      </c>
      <c r="B169" s="43" t="s">
        <v>1065</v>
      </c>
      <c r="C169" s="46" t="s">
        <v>21</v>
      </c>
      <c r="D169" s="44" t="s">
        <v>1071</v>
      </c>
      <c r="E169" s="34">
        <v>5366</v>
      </c>
      <c r="F169" s="46" t="s">
        <v>1078</v>
      </c>
      <c r="G169" s="35">
        <v>24597</v>
      </c>
      <c r="H169" s="40">
        <v>24597</v>
      </c>
    </row>
    <row r="170" spans="1:8" s="15" customFormat="1" ht="27.95" customHeight="1" x14ac:dyDescent="0.2">
      <c r="A170" s="1" t="s">
        <v>1440</v>
      </c>
      <c r="B170" s="43" t="s">
        <v>320</v>
      </c>
      <c r="C170" s="46" t="s">
        <v>26</v>
      </c>
      <c r="D170" s="44" t="s">
        <v>24</v>
      </c>
      <c r="E170" s="47" t="s">
        <v>361</v>
      </c>
      <c r="F170" s="46" t="s">
        <v>33</v>
      </c>
      <c r="G170" s="35">
        <v>25000</v>
      </c>
      <c r="H170" s="40">
        <v>25000</v>
      </c>
    </row>
    <row r="171" spans="1:8" s="15" customFormat="1" ht="27.95" customHeight="1" x14ac:dyDescent="0.2">
      <c r="A171" s="1" t="s">
        <v>1440</v>
      </c>
      <c r="B171" s="43" t="s">
        <v>329</v>
      </c>
      <c r="C171" s="46" t="s">
        <v>26</v>
      </c>
      <c r="D171" s="44" t="s">
        <v>29</v>
      </c>
      <c r="E171" s="47" t="s">
        <v>375</v>
      </c>
      <c r="F171" s="46" t="s">
        <v>33</v>
      </c>
      <c r="G171" s="35">
        <v>25000</v>
      </c>
      <c r="H171" s="40">
        <v>25000</v>
      </c>
    </row>
    <row r="172" spans="1:8" s="15" customFormat="1" ht="27.95" customHeight="1" x14ac:dyDescent="0.2">
      <c r="A172" s="1" t="s">
        <v>1440</v>
      </c>
      <c r="B172" s="43" t="s">
        <v>331</v>
      </c>
      <c r="C172" s="46" t="s">
        <v>26</v>
      </c>
      <c r="D172" s="44" t="s">
        <v>30</v>
      </c>
      <c r="E172" s="47" t="s">
        <v>377</v>
      </c>
      <c r="F172" s="46" t="s">
        <v>33</v>
      </c>
      <c r="G172" s="35">
        <v>25000</v>
      </c>
      <c r="H172" s="40">
        <v>25000</v>
      </c>
    </row>
    <row r="173" spans="1:8" s="15" customFormat="1" ht="27.95" customHeight="1" x14ac:dyDescent="0.2">
      <c r="A173" s="1" t="s">
        <v>1440</v>
      </c>
      <c r="B173" s="43" t="s">
        <v>334</v>
      </c>
      <c r="C173" s="46" t="s">
        <v>26</v>
      </c>
      <c r="D173" s="44" t="s">
        <v>351</v>
      </c>
      <c r="E173" s="47" t="s">
        <v>380</v>
      </c>
      <c r="F173" s="46" t="s">
        <v>385</v>
      </c>
      <c r="G173" s="35">
        <v>25000</v>
      </c>
      <c r="H173" s="40">
        <v>25000</v>
      </c>
    </row>
    <row r="174" spans="1:8" s="15" customFormat="1" ht="27.95" customHeight="1" x14ac:dyDescent="0.2">
      <c r="A174" s="1" t="s">
        <v>1440</v>
      </c>
      <c r="B174" s="43" t="s">
        <v>336</v>
      </c>
      <c r="C174" s="46" t="s">
        <v>26</v>
      </c>
      <c r="D174" s="44" t="s">
        <v>31</v>
      </c>
      <c r="E174" s="47" t="s">
        <v>369</v>
      </c>
      <c r="F174" s="46" t="s">
        <v>33</v>
      </c>
      <c r="G174" s="35">
        <v>25000</v>
      </c>
      <c r="H174" s="40">
        <v>25000</v>
      </c>
    </row>
    <row r="175" spans="1:8" s="15" customFormat="1" ht="27.95" customHeight="1" x14ac:dyDescent="0.2">
      <c r="A175" s="1" t="s">
        <v>1440</v>
      </c>
      <c r="B175" s="43" t="s">
        <v>389</v>
      </c>
      <c r="C175" s="46" t="s">
        <v>39</v>
      </c>
      <c r="D175" s="44" t="s">
        <v>89</v>
      </c>
      <c r="E175" s="47" t="s">
        <v>418</v>
      </c>
      <c r="F175" s="46" t="s">
        <v>115</v>
      </c>
      <c r="G175" s="35">
        <v>25000</v>
      </c>
      <c r="H175" s="40">
        <v>16000</v>
      </c>
    </row>
    <row r="176" spans="1:8" s="15" customFormat="1" ht="27.95" customHeight="1" x14ac:dyDescent="0.2">
      <c r="A176" s="1" t="s">
        <v>1440</v>
      </c>
      <c r="B176" s="43" t="s">
        <v>582</v>
      </c>
      <c r="C176" s="46" t="s">
        <v>26</v>
      </c>
      <c r="D176" s="44" t="s">
        <v>586</v>
      </c>
      <c r="E176" s="47" t="s">
        <v>41</v>
      </c>
      <c r="F176" s="46" t="s">
        <v>585</v>
      </c>
      <c r="G176" s="35">
        <v>25000</v>
      </c>
      <c r="H176" s="40">
        <v>25000</v>
      </c>
    </row>
    <row r="177" spans="1:8" s="15" customFormat="1" ht="27.95" customHeight="1" x14ac:dyDescent="0.2">
      <c r="A177" s="1" t="s">
        <v>1440</v>
      </c>
      <c r="B177" s="43" t="s">
        <v>697</v>
      </c>
      <c r="C177" s="46" t="s">
        <v>18</v>
      </c>
      <c r="D177" s="44" t="s">
        <v>712</v>
      </c>
      <c r="E177" s="34">
        <v>4756</v>
      </c>
      <c r="F177" s="46" t="s">
        <v>704</v>
      </c>
      <c r="G177" s="35">
        <v>25000</v>
      </c>
      <c r="H177" s="40">
        <v>5000</v>
      </c>
    </row>
    <row r="178" spans="1:8" s="15" customFormat="1" ht="27.95" customHeight="1" x14ac:dyDescent="0.2">
      <c r="A178" s="1" t="s">
        <v>1440</v>
      </c>
      <c r="B178" s="43" t="s">
        <v>981</v>
      </c>
      <c r="C178" s="46" t="s">
        <v>26</v>
      </c>
      <c r="D178" s="44" t="s">
        <v>986</v>
      </c>
      <c r="E178" s="47" t="s">
        <v>41</v>
      </c>
      <c r="F178" s="46" t="s">
        <v>989</v>
      </c>
      <c r="G178" s="35">
        <v>25000</v>
      </c>
      <c r="H178" s="40">
        <v>25000</v>
      </c>
    </row>
    <row r="179" spans="1:8" s="15" customFormat="1" ht="27.95" customHeight="1" x14ac:dyDescent="0.2">
      <c r="A179" s="1" t="s">
        <v>1440</v>
      </c>
      <c r="B179" s="43" t="s">
        <v>1009</v>
      </c>
      <c r="C179" s="46" t="s">
        <v>18</v>
      </c>
      <c r="D179" s="44" t="s">
        <v>97</v>
      </c>
      <c r="E179" s="34">
        <v>5158</v>
      </c>
      <c r="F179" s="46" t="s">
        <v>1019</v>
      </c>
      <c r="G179" s="35">
        <v>25000</v>
      </c>
      <c r="H179" s="40">
        <v>5000</v>
      </c>
    </row>
    <row r="180" spans="1:8" s="15" customFormat="1" ht="27.95" customHeight="1" x14ac:dyDescent="0.2">
      <c r="A180" s="1" t="s">
        <v>1440</v>
      </c>
      <c r="B180" s="43" t="s">
        <v>1161</v>
      </c>
      <c r="C180" s="46" t="s">
        <v>76</v>
      </c>
      <c r="D180" s="44" t="s">
        <v>1163</v>
      </c>
      <c r="E180" s="34">
        <v>5588</v>
      </c>
      <c r="F180" s="46" t="s">
        <v>1170</v>
      </c>
      <c r="G180" s="35">
        <v>25000</v>
      </c>
      <c r="H180" s="40">
        <v>25000</v>
      </c>
    </row>
    <row r="181" spans="1:8" s="15" customFormat="1" ht="27.95" customHeight="1" x14ac:dyDescent="0.2">
      <c r="A181" s="1" t="s">
        <v>1440</v>
      </c>
      <c r="B181" s="43" t="s">
        <v>1339</v>
      </c>
      <c r="C181" s="46" t="s">
        <v>26</v>
      </c>
      <c r="D181" s="44" t="s">
        <v>25</v>
      </c>
      <c r="E181" s="47" t="s">
        <v>41</v>
      </c>
      <c r="F181" s="46" t="s">
        <v>1343</v>
      </c>
      <c r="G181" s="35">
        <v>25000</v>
      </c>
      <c r="H181" s="40">
        <v>15000</v>
      </c>
    </row>
    <row r="182" spans="1:8" s="15" customFormat="1" ht="27.95" customHeight="1" x14ac:dyDescent="0.2">
      <c r="A182" s="1" t="s">
        <v>1440</v>
      </c>
      <c r="B182" s="43" t="s">
        <v>1345</v>
      </c>
      <c r="C182" s="46" t="s">
        <v>49</v>
      </c>
      <c r="D182" s="44" t="s">
        <v>1350</v>
      </c>
      <c r="E182" s="47">
        <v>6021</v>
      </c>
      <c r="F182" s="46" t="s">
        <v>1355</v>
      </c>
      <c r="G182" s="35">
        <v>25000</v>
      </c>
      <c r="H182" s="40">
        <v>25000</v>
      </c>
    </row>
    <row r="183" spans="1:8" s="15" customFormat="1" ht="27.95" customHeight="1" x14ac:dyDescent="0.2">
      <c r="A183" s="1" t="s">
        <v>1440</v>
      </c>
      <c r="B183" s="43" t="s">
        <v>173</v>
      </c>
      <c r="C183" s="46" t="s">
        <v>50</v>
      </c>
      <c r="D183" s="44" t="s">
        <v>217</v>
      </c>
      <c r="E183" s="34">
        <v>4188</v>
      </c>
      <c r="F183" s="46" t="s">
        <v>201</v>
      </c>
      <c r="G183" s="35">
        <v>25135</v>
      </c>
      <c r="H183" s="40">
        <v>25000</v>
      </c>
    </row>
    <row r="184" spans="1:8" s="15" customFormat="1" ht="27.95" customHeight="1" x14ac:dyDescent="0.2">
      <c r="A184" s="1" t="s">
        <v>1440</v>
      </c>
      <c r="B184" s="43" t="s">
        <v>390</v>
      </c>
      <c r="C184" s="46" t="s">
        <v>39</v>
      </c>
      <c r="D184" s="44" t="s">
        <v>100</v>
      </c>
      <c r="E184" s="47" t="s">
        <v>419</v>
      </c>
      <c r="F184" s="46" t="s">
        <v>101</v>
      </c>
      <c r="G184" s="35">
        <v>25600</v>
      </c>
      <c r="H184" s="40">
        <v>25000</v>
      </c>
    </row>
    <row r="185" spans="1:8" s="15" customFormat="1" ht="27.95" customHeight="1" x14ac:dyDescent="0.2">
      <c r="A185" s="1" t="s">
        <v>1440</v>
      </c>
      <c r="B185" s="43" t="s">
        <v>1007</v>
      </c>
      <c r="C185" s="46" t="s">
        <v>76</v>
      </c>
      <c r="D185" s="44" t="s">
        <v>1012</v>
      </c>
      <c r="E185" s="34">
        <v>5138</v>
      </c>
      <c r="F185" s="46" t="s">
        <v>1017</v>
      </c>
      <c r="G185" s="35">
        <f>8550*3</f>
        <v>25650</v>
      </c>
      <c r="H185" s="40">
        <f>8550*3</f>
        <v>25650</v>
      </c>
    </row>
    <row r="186" spans="1:8" s="15" customFormat="1" ht="27.95" customHeight="1" x14ac:dyDescent="0.2">
      <c r="A186" s="1" t="s">
        <v>1440</v>
      </c>
      <c r="B186" s="43" t="s">
        <v>985</v>
      </c>
      <c r="C186" s="46" t="s">
        <v>39</v>
      </c>
      <c r="D186" s="44" t="s">
        <v>988</v>
      </c>
      <c r="E186" s="34">
        <v>4929</v>
      </c>
      <c r="F186" s="46" t="s">
        <v>991</v>
      </c>
      <c r="G186" s="35">
        <f>8566*3</f>
        <v>25698</v>
      </c>
      <c r="H186" s="40">
        <f>8566*3</f>
        <v>25698</v>
      </c>
    </row>
    <row r="187" spans="1:8" s="15" customFormat="1" ht="27.95" customHeight="1" x14ac:dyDescent="0.2">
      <c r="A187" s="1" t="s">
        <v>1440</v>
      </c>
      <c r="B187" s="43" t="s">
        <v>1174</v>
      </c>
      <c r="C187" s="46" t="s">
        <v>39</v>
      </c>
      <c r="D187" s="44" t="s">
        <v>230</v>
      </c>
      <c r="E187" s="34">
        <v>5689</v>
      </c>
      <c r="F187" s="46" t="s">
        <v>1172</v>
      </c>
      <c r="G187" s="35">
        <f>8402+8654+8914</f>
        <v>25970</v>
      </c>
      <c r="H187" s="40">
        <f>8402+8654+8914</f>
        <v>25970</v>
      </c>
    </row>
    <row r="188" spans="1:8" s="15" customFormat="1" ht="27.95" customHeight="1" x14ac:dyDescent="0.2">
      <c r="A188" s="1" t="s">
        <v>1440</v>
      </c>
      <c r="B188" s="43" t="s">
        <v>639</v>
      </c>
      <c r="C188" s="46" t="s">
        <v>76</v>
      </c>
      <c r="D188" s="44" t="s">
        <v>78</v>
      </c>
      <c r="E188" s="34">
        <v>4669</v>
      </c>
      <c r="F188" s="46" t="s">
        <v>651</v>
      </c>
      <c r="G188" s="35">
        <f>8950*3</f>
        <v>26850</v>
      </c>
      <c r="H188" s="40">
        <f>8950*3</f>
        <v>26850</v>
      </c>
    </row>
    <row r="189" spans="1:8" s="15" customFormat="1" ht="27.95" customHeight="1" x14ac:dyDescent="0.2">
      <c r="A189" s="1" t="s">
        <v>1440</v>
      </c>
      <c r="B189" s="43" t="s">
        <v>1089</v>
      </c>
      <c r="C189" s="46" t="s">
        <v>17</v>
      </c>
      <c r="D189" s="44" t="s">
        <v>892</v>
      </c>
      <c r="E189" s="34">
        <v>5418</v>
      </c>
      <c r="F189" s="46" t="s">
        <v>1097</v>
      </c>
      <c r="G189" s="35">
        <f>9000*3</f>
        <v>27000</v>
      </c>
      <c r="H189" s="40">
        <f>9000*3</f>
        <v>27000</v>
      </c>
    </row>
    <row r="190" spans="1:8" s="15" customFormat="1" ht="27.95" customHeight="1" x14ac:dyDescent="0.2">
      <c r="A190" s="1" t="s">
        <v>1440</v>
      </c>
      <c r="B190" s="43" t="s">
        <v>694</v>
      </c>
      <c r="C190" s="46" t="s">
        <v>48</v>
      </c>
      <c r="D190" s="44" t="s">
        <v>104</v>
      </c>
      <c r="E190" s="34">
        <v>4687</v>
      </c>
      <c r="F190" s="46" t="s">
        <v>706</v>
      </c>
      <c r="G190" s="35">
        <v>27500</v>
      </c>
      <c r="H190" s="40">
        <v>27500</v>
      </c>
    </row>
    <row r="191" spans="1:8" s="15" customFormat="1" ht="27.95" customHeight="1" x14ac:dyDescent="0.2">
      <c r="A191" s="1" t="s">
        <v>1440</v>
      </c>
      <c r="B191" s="43" t="s">
        <v>1247</v>
      </c>
      <c r="C191" s="46" t="s">
        <v>39</v>
      </c>
      <c r="D191" s="44" t="s">
        <v>230</v>
      </c>
      <c r="E191" s="47">
        <v>5691</v>
      </c>
      <c r="F191" s="46" t="s">
        <v>1238</v>
      </c>
      <c r="G191" s="35">
        <v>28050</v>
      </c>
      <c r="H191" s="40">
        <v>28050</v>
      </c>
    </row>
    <row r="192" spans="1:8" s="15" customFormat="1" ht="27.95" customHeight="1" x14ac:dyDescent="0.2">
      <c r="A192" s="1" t="s">
        <v>1440</v>
      </c>
      <c r="B192" s="43" t="s">
        <v>1210</v>
      </c>
      <c r="C192" s="46" t="s">
        <v>40</v>
      </c>
      <c r="D192" s="44" t="s">
        <v>559</v>
      </c>
      <c r="E192" s="34">
        <v>3545</v>
      </c>
      <c r="F192" s="46" t="s">
        <v>1218</v>
      </c>
      <c r="G192" s="35">
        <f>9600*3</f>
        <v>28800</v>
      </c>
      <c r="H192" s="40">
        <f>9600*3</f>
        <v>28800</v>
      </c>
    </row>
    <row r="193" spans="1:8" s="15" customFormat="1" ht="27.95" customHeight="1" x14ac:dyDescent="0.2">
      <c r="A193" s="1" t="s">
        <v>1440</v>
      </c>
      <c r="B193" s="43" t="s">
        <v>889</v>
      </c>
      <c r="C193" s="46" t="s">
        <v>17</v>
      </c>
      <c r="D193" s="44" t="s">
        <v>112</v>
      </c>
      <c r="E193" s="34">
        <v>4746</v>
      </c>
      <c r="F193" s="46" t="s">
        <v>884</v>
      </c>
      <c r="G193" s="35">
        <v>29820</v>
      </c>
      <c r="H193" s="40">
        <v>10080</v>
      </c>
    </row>
    <row r="194" spans="1:8" s="15" customFormat="1" ht="27.95" customHeight="1" x14ac:dyDescent="0.2">
      <c r="A194" s="1" t="s">
        <v>1440</v>
      </c>
      <c r="B194" s="43" t="s">
        <v>983</v>
      </c>
      <c r="C194" s="46" t="s">
        <v>50</v>
      </c>
      <c r="D194" s="44" t="s">
        <v>987</v>
      </c>
      <c r="E194" s="34">
        <v>4894</v>
      </c>
      <c r="F194" s="46" t="s">
        <v>992</v>
      </c>
      <c r="G194" s="35">
        <v>29900</v>
      </c>
      <c r="H194" s="40">
        <v>5000</v>
      </c>
    </row>
    <row r="195" spans="1:8" s="15" customFormat="1" ht="27.95" customHeight="1" x14ac:dyDescent="0.2">
      <c r="A195" s="1" t="s">
        <v>1440</v>
      </c>
      <c r="B195" s="43" t="s">
        <v>149</v>
      </c>
      <c r="C195" s="46" t="s">
        <v>17</v>
      </c>
      <c r="D195" s="44" t="s">
        <v>206</v>
      </c>
      <c r="E195" s="47">
        <v>3895</v>
      </c>
      <c r="F195" s="46" t="s">
        <v>202</v>
      </c>
      <c r="G195" s="35">
        <f>10000*3</f>
        <v>30000</v>
      </c>
      <c r="H195" s="40">
        <f>10000*3</f>
        <v>30000</v>
      </c>
    </row>
    <row r="196" spans="1:8" s="15" customFormat="1" ht="27.95" customHeight="1" x14ac:dyDescent="0.2">
      <c r="A196" s="1" t="s">
        <v>1440</v>
      </c>
      <c r="B196" s="43" t="s">
        <v>163</v>
      </c>
      <c r="C196" s="46" t="s">
        <v>48</v>
      </c>
      <c r="D196" s="44" t="s">
        <v>22</v>
      </c>
      <c r="E196" s="47">
        <v>4034</v>
      </c>
      <c r="F196" s="46" t="s">
        <v>191</v>
      </c>
      <c r="G196" s="49">
        <f>10000*3</f>
        <v>30000</v>
      </c>
      <c r="H196" s="50">
        <f>10000*3</f>
        <v>30000</v>
      </c>
    </row>
    <row r="197" spans="1:8" s="15" customFormat="1" ht="27.95" customHeight="1" x14ac:dyDescent="0.2">
      <c r="A197" s="1" t="s">
        <v>1440</v>
      </c>
      <c r="B197" s="43" t="s">
        <v>170</v>
      </c>
      <c r="C197" s="46" t="s">
        <v>19</v>
      </c>
      <c r="D197" s="44" t="s">
        <v>215</v>
      </c>
      <c r="E197" s="34">
        <v>4154</v>
      </c>
      <c r="F197" s="46" t="s">
        <v>198</v>
      </c>
      <c r="G197" s="35">
        <f>10000*3</f>
        <v>30000</v>
      </c>
      <c r="H197" s="40">
        <f>10000*3</f>
        <v>30000</v>
      </c>
    </row>
    <row r="198" spans="1:8" s="15" customFormat="1" ht="27.95" customHeight="1" x14ac:dyDescent="0.2">
      <c r="A198" s="1" t="s">
        <v>1440</v>
      </c>
      <c r="B198" s="43" t="s">
        <v>339</v>
      </c>
      <c r="C198" s="46" t="s">
        <v>26</v>
      </c>
      <c r="D198" s="44" t="s">
        <v>353</v>
      </c>
      <c r="E198" s="47" t="s">
        <v>371</v>
      </c>
      <c r="F198" s="46" t="s">
        <v>33</v>
      </c>
      <c r="G198" s="35">
        <v>30000</v>
      </c>
      <c r="H198" s="40">
        <v>30000</v>
      </c>
    </row>
    <row r="199" spans="1:8" s="15" customFormat="1" ht="27.95" customHeight="1" x14ac:dyDescent="0.2">
      <c r="A199" s="1" t="s">
        <v>1440</v>
      </c>
      <c r="B199" s="43" t="s">
        <v>450</v>
      </c>
      <c r="C199" s="46" t="s">
        <v>17</v>
      </c>
      <c r="D199" s="44" t="s">
        <v>462</v>
      </c>
      <c r="E199" s="47">
        <v>3933</v>
      </c>
      <c r="F199" s="46" t="s">
        <v>476</v>
      </c>
      <c r="G199" s="35">
        <f>10000*3</f>
        <v>30000</v>
      </c>
      <c r="H199" s="40">
        <f>10000*3</f>
        <v>30000</v>
      </c>
    </row>
    <row r="200" spans="1:8" s="15" customFormat="1" ht="27.95" customHeight="1" x14ac:dyDescent="0.2">
      <c r="A200" s="1" t="s">
        <v>1440</v>
      </c>
      <c r="B200" s="43" t="s">
        <v>485</v>
      </c>
      <c r="C200" s="46" t="s">
        <v>46</v>
      </c>
      <c r="D200" s="44" t="s">
        <v>497</v>
      </c>
      <c r="E200" s="47">
        <v>4410</v>
      </c>
      <c r="F200" s="46" t="s">
        <v>511</v>
      </c>
      <c r="G200" s="35">
        <f>10000*3</f>
        <v>30000</v>
      </c>
      <c r="H200" s="40">
        <f>10000*3</f>
        <v>30000</v>
      </c>
    </row>
    <row r="201" spans="1:8" s="15" customFormat="1" ht="27.95" customHeight="1" x14ac:dyDescent="0.2">
      <c r="A201" s="1" t="s">
        <v>1440</v>
      </c>
      <c r="B201" s="43" t="s">
        <v>539</v>
      </c>
      <c r="C201" s="46" t="s">
        <v>551</v>
      </c>
      <c r="D201" s="44" t="s">
        <v>554</v>
      </c>
      <c r="E201" s="47">
        <v>4183</v>
      </c>
      <c r="F201" s="46" t="s">
        <v>570</v>
      </c>
      <c r="G201" s="35">
        <f>10000*3</f>
        <v>30000</v>
      </c>
      <c r="H201" s="40">
        <f>10000*3</f>
        <v>30000</v>
      </c>
    </row>
    <row r="202" spans="1:8" s="15" customFormat="1" ht="27.95" customHeight="1" x14ac:dyDescent="0.2">
      <c r="A202" s="1" t="s">
        <v>1440</v>
      </c>
      <c r="B202" s="43" t="s">
        <v>540</v>
      </c>
      <c r="C202" s="46" t="s">
        <v>551</v>
      </c>
      <c r="D202" s="44" t="s">
        <v>555</v>
      </c>
      <c r="E202" s="47">
        <v>4182</v>
      </c>
      <c r="F202" s="46" t="s">
        <v>570</v>
      </c>
      <c r="G202" s="35">
        <f>10000*3</f>
        <v>30000</v>
      </c>
      <c r="H202" s="40">
        <f>10000*3</f>
        <v>30000</v>
      </c>
    </row>
    <row r="203" spans="1:8" s="15" customFormat="1" ht="27.95" customHeight="1" x14ac:dyDescent="0.2">
      <c r="A203" s="1" t="s">
        <v>1440</v>
      </c>
      <c r="B203" s="43" t="s">
        <v>549</v>
      </c>
      <c r="C203" s="46" t="s">
        <v>39</v>
      </c>
      <c r="D203" s="44" t="s">
        <v>561</v>
      </c>
      <c r="E203" s="47">
        <v>4434</v>
      </c>
      <c r="F203" s="46" t="s">
        <v>579</v>
      </c>
      <c r="G203" s="35">
        <f>10000*3</f>
        <v>30000</v>
      </c>
      <c r="H203" s="40">
        <f>10000*3</f>
        <v>30000</v>
      </c>
    </row>
    <row r="204" spans="1:8" s="15" customFormat="1" ht="27.95" customHeight="1" x14ac:dyDescent="0.2">
      <c r="A204" s="1" t="s">
        <v>1440</v>
      </c>
      <c r="B204" s="43" t="s">
        <v>588</v>
      </c>
      <c r="C204" s="46" t="s">
        <v>49</v>
      </c>
      <c r="D204" s="44" t="s">
        <v>597</v>
      </c>
      <c r="E204" s="34">
        <v>4462</v>
      </c>
      <c r="F204" s="46" t="s">
        <v>592</v>
      </c>
      <c r="G204" s="35">
        <v>30000</v>
      </c>
      <c r="H204" s="40">
        <v>30000</v>
      </c>
    </row>
    <row r="205" spans="1:8" s="15" customFormat="1" ht="27.95" customHeight="1" x14ac:dyDescent="0.2">
      <c r="A205" s="1" t="s">
        <v>1440</v>
      </c>
      <c r="B205" s="43" t="s">
        <v>736</v>
      </c>
      <c r="C205" s="46" t="s">
        <v>76</v>
      </c>
      <c r="D205" s="44" t="s">
        <v>757</v>
      </c>
      <c r="E205" s="47" t="s">
        <v>41</v>
      </c>
      <c r="F205" s="46" t="s">
        <v>747</v>
      </c>
      <c r="G205" s="35">
        <v>30000</v>
      </c>
      <c r="H205" s="40">
        <v>30000</v>
      </c>
    </row>
    <row r="206" spans="1:8" s="15" customFormat="1" ht="27.95" customHeight="1" x14ac:dyDescent="0.2">
      <c r="A206" s="1" t="s">
        <v>1440</v>
      </c>
      <c r="B206" s="43" t="s">
        <v>740</v>
      </c>
      <c r="C206" s="46" t="s">
        <v>17</v>
      </c>
      <c r="D206" s="44" t="s">
        <v>758</v>
      </c>
      <c r="E206" s="34">
        <v>4693</v>
      </c>
      <c r="F206" s="46" t="s">
        <v>751</v>
      </c>
      <c r="G206" s="35">
        <f>10000*3</f>
        <v>30000</v>
      </c>
      <c r="H206" s="40">
        <f>10000*3</f>
        <v>30000</v>
      </c>
    </row>
    <row r="207" spans="1:8" s="15" customFormat="1" ht="27.95" customHeight="1" x14ac:dyDescent="0.2">
      <c r="A207" s="1" t="s">
        <v>1440</v>
      </c>
      <c r="B207" s="43" t="s">
        <v>743</v>
      </c>
      <c r="C207" s="46" t="s">
        <v>76</v>
      </c>
      <c r="D207" s="44" t="s">
        <v>761</v>
      </c>
      <c r="E207" s="34">
        <v>4875</v>
      </c>
      <c r="F207" s="46" t="s">
        <v>754</v>
      </c>
      <c r="G207" s="35">
        <f>10000*3</f>
        <v>30000</v>
      </c>
      <c r="H207" s="40">
        <f>10000*3</f>
        <v>30000</v>
      </c>
    </row>
    <row r="208" spans="1:8" s="15" customFormat="1" ht="27.95" customHeight="1" x14ac:dyDescent="0.2">
      <c r="A208" s="1" t="s">
        <v>1440</v>
      </c>
      <c r="B208" s="43" t="s">
        <v>768</v>
      </c>
      <c r="C208" s="46" t="s">
        <v>21</v>
      </c>
      <c r="D208" s="44" t="s">
        <v>107</v>
      </c>
      <c r="E208" s="34">
        <v>4967</v>
      </c>
      <c r="F208" s="46" t="s">
        <v>477</v>
      </c>
      <c r="G208" s="35">
        <v>30000</v>
      </c>
      <c r="H208" s="40">
        <v>72000</v>
      </c>
    </row>
    <row r="209" spans="1:8" s="15" customFormat="1" ht="27.95" customHeight="1" x14ac:dyDescent="0.2">
      <c r="A209" s="1" t="s">
        <v>1440</v>
      </c>
      <c r="B209" s="43" t="s">
        <v>813</v>
      </c>
      <c r="C209" s="46" t="s">
        <v>825</v>
      </c>
      <c r="D209" s="44" t="s">
        <v>837</v>
      </c>
      <c r="E209" s="34">
        <v>4104</v>
      </c>
      <c r="F209" s="46" t="s">
        <v>868</v>
      </c>
      <c r="G209" s="35">
        <f>10000*3</f>
        <v>30000</v>
      </c>
      <c r="H209" s="40">
        <f>10000*3</f>
        <v>30000</v>
      </c>
    </row>
    <row r="210" spans="1:8" s="15" customFormat="1" ht="27.95" customHeight="1" x14ac:dyDescent="0.2">
      <c r="A210" s="1" t="s">
        <v>1440</v>
      </c>
      <c r="B210" s="43" t="s">
        <v>821</v>
      </c>
      <c r="C210" s="46" t="s">
        <v>825</v>
      </c>
      <c r="D210" s="44" t="s">
        <v>844</v>
      </c>
      <c r="E210" s="34">
        <v>4941</v>
      </c>
      <c r="F210" s="46" t="s">
        <v>861</v>
      </c>
      <c r="G210" s="35">
        <f>10000*3</f>
        <v>30000</v>
      </c>
      <c r="H210" s="40">
        <f>10000*3</f>
        <v>30000</v>
      </c>
    </row>
    <row r="211" spans="1:8" s="15" customFormat="1" ht="27.95" customHeight="1" x14ac:dyDescent="0.2">
      <c r="A211" s="1" t="s">
        <v>1440</v>
      </c>
      <c r="B211" s="43" t="s">
        <v>1060</v>
      </c>
      <c r="C211" s="46" t="s">
        <v>1067</v>
      </c>
      <c r="D211" s="44" t="s">
        <v>25</v>
      </c>
      <c r="E211" s="47" t="s">
        <v>41</v>
      </c>
      <c r="F211" s="46" t="s">
        <v>1073</v>
      </c>
      <c r="G211" s="35">
        <v>30000</v>
      </c>
      <c r="H211" s="40">
        <v>15000</v>
      </c>
    </row>
    <row r="212" spans="1:8" s="15" customFormat="1" ht="27.95" customHeight="1" x14ac:dyDescent="0.2">
      <c r="A212" s="1" t="s">
        <v>1440</v>
      </c>
      <c r="B212" s="43" t="s">
        <v>1085</v>
      </c>
      <c r="C212" s="46" t="s">
        <v>1067</v>
      </c>
      <c r="D212" s="44" t="s">
        <v>1092</v>
      </c>
      <c r="E212" s="34">
        <v>5464</v>
      </c>
      <c r="F212" s="46" t="s">
        <v>1096</v>
      </c>
      <c r="G212" s="35">
        <v>30000</v>
      </c>
      <c r="H212" s="40">
        <v>30000</v>
      </c>
    </row>
    <row r="213" spans="1:8" s="15" customFormat="1" ht="27.95" customHeight="1" x14ac:dyDescent="0.2">
      <c r="A213" s="1" t="s">
        <v>1440</v>
      </c>
      <c r="B213" s="43" t="s">
        <v>1145</v>
      </c>
      <c r="C213" s="46" t="s">
        <v>21</v>
      </c>
      <c r="D213" s="44" t="s">
        <v>107</v>
      </c>
      <c r="E213" s="34">
        <v>5476</v>
      </c>
      <c r="F213" s="46" t="s">
        <v>477</v>
      </c>
      <c r="G213" s="35">
        <v>30000</v>
      </c>
      <c r="H213" s="40">
        <v>72000</v>
      </c>
    </row>
    <row r="214" spans="1:8" s="15" customFormat="1" ht="27.95" customHeight="1" x14ac:dyDescent="0.2">
      <c r="A214" s="1" t="s">
        <v>1440</v>
      </c>
      <c r="B214" s="43" t="s">
        <v>1186</v>
      </c>
      <c r="C214" s="46" t="s">
        <v>18</v>
      </c>
      <c r="D214" s="44" t="s">
        <v>1193</v>
      </c>
      <c r="E214" s="47" t="s">
        <v>1199</v>
      </c>
      <c r="F214" s="46" t="s">
        <v>1201</v>
      </c>
      <c r="G214" s="35">
        <v>30000</v>
      </c>
      <c r="H214" s="40">
        <v>10000</v>
      </c>
    </row>
    <row r="215" spans="1:8" s="15" customFormat="1" ht="27.95" customHeight="1" x14ac:dyDescent="0.2">
      <c r="A215" s="1" t="s">
        <v>1440</v>
      </c>
      <c r="B215" s="43" t="s">
        <v>1374</v>
      </c>
      <c r="C215" s="46" t="s">
        <v>39</v>
      </c>
      <c r="D215" s="44" t="s">
        <v>1377</v>
      </c>
      <c r="E215" s="34">
        <v>6207</v>
      </c>
      <c r="F215" s="46" t="s">
        <v>1383</v>
      </c>
      <c r="G215" s="35">
        <v>30000</v>
      </c>
      <c r="H215" s="40">
        <v>30000</v>
      </c>
    </row>
    <row r="216" spans="1:8" s="15" customFormat="1" ht="27.95" customHeight="1" x14ac:dyDescent="0.2">
      <c r="A216" s="1" t="s">
        <v>1440</v>
      </c>
      <c r="B216" s="43" t="s">
        <v>1221</v>
      </c>
      <c r="C216" s="46" t="s">
        <v>48</v>
      </c>
      <c r="D216" s="44" t="s">
        <v>460</v>
      </c>
      <c r="E216" s="34">
        <v>5771</v>
      </c>
      <c r="F216" s="46" t="s">
        <v>1227</v>
      </c>
      <c r="G216" s="35">
        <v>30116</v>
      </c>
      <c r="H216" s="40">
        <v>24000</v>
      </c>
    </row>
    <row r="217" spans="1:8" s="15" customFormat="1" ht="27.95" customHeight="1" x14ac:dyDescent="0.2">
      <c r="A217" s="1" t="s">
        <v>1440</v>
      </c>
      <c r="B217" s="43" t="s">
        <v>547</v>
      </c>
      <c r="C217" s="46" t="s">
        <v>50</v>
      </c>
      <c r="D217" s="44" t="s">
        <v>560</v>
      </c>
      <c r="E217" s="47">
        <v>4079</v>
      </c>
      <c r="F217" s="46" t="s">
        <v>577</v>
      </c>
      <c r="G217" s="35">
        <f>10112*3</f>
        <v>30336</v>
      </c>
      <c r="H217" s="40">
        <f>10112*3</f>
        <v>30336</v>
      </c>
    </row>
    <row r="218" spans="1:8" s="15" customFormat="1" ht="27.95" customHeight="1" x14ac:dyDescent="0.2">
      <c r="A218" s="1" t="s">
        <v>1440</v>
      </c>
      <c r="B218" s="43" t="s">
        <v>1420</v>
      </c>
      <c r="C218" s="46" t="s">
        <v>50</v>
      </c>
      <c r="D218" s="44" t="s">
        <v>1423</v>
      </c>
      <c r="E218" s="47" t="s">
        <v>41</v>
      </c>
      <c r="F218" s="46" t="s">
        <v>1426</v>
      </c>
      <c r="G218" s="35">
        <v>31000</v>
      </c>
      <c r="H218" s="40">
        <v>31000</v>
      </c>
    </row>
    <row r="219" spans="1:8" s="15" customFormat="1" ht="27.95" customHeight="1" x14ac:dyDescent="0.2">
      <c r="A219" s="1" t="s">
        <v>1440</v>
      </c>
      <c r="B219" s="43" t="s">
        <v>151</v>
      </c>
      <c r="C219" s="46" t="s">
        <v>45</v>
      </c>
      <c r="D219" s="44" t="s">
        <v>120</v>
      </c>
      <c r="E219" s="47">
        <v>3914</v>
      </c>
      <c r="F219" s="46" t="s">
        <v>179</v>
      </c>
      <c r="G219" s="35">
        <f>10500*3</f>
        <v>31500</v>
      </c>
      <c r="H219" s="40">
        <f>10500*3</f>
        <v>31500</v>
      </c>
    </row>
    <row r="220" spans="1:8" s="15" customFormat="1" ht="27.95" customHeight="1" x14ac:dyDescent="0.2">
      <c r="A220" s="1" t="s">
        <v>1440</v>
      </c>
      <c r="B220" s="43" t="s">
        <v>152</v>
      </c>
      <c r="C220" s="46" t="s">
        <v>45</v>
      </c>
      <c r="D220" s="44" t="s">
        <v>119</v>
      </c>
      <c r="E220" s="47">
        <v>3915</v>
      </c>
      <c r="F220" s="46" t="s">
        <v>180</v>
      </c>
      <c r="G220" s="35">
        <f>10500*3</f>
        <v>31500</v>
      </c>
      <c r="H220" s="40">
        <f>10500*3</f>
        <v>31500</v>
      </c>
    </row>
    <row r="221" spans="1:8" s="15" customFormat="1" ht="27.95" customHeight="1" x14ac:dyDescent="0.2">
      <c r="A221" s="1" t="s">
        <v>1440</v>
      </c>
      <c r="B221" s="43" t="s">
        <v>1418</v>
      </c>
      <c r="C221" s="46" t="s">
        <v>50</v>
      </c>
      <c r="D221" s="44" t="s">
        <v>1421</v>
      </c>
      <c r="E221" s="47" t="s">
        <v>41</v>
      </c>
      <c r="F221" s="46" t="s">
        <v>1424</v>
      </c>
      <c r="G221" s="35">
        <v>31780</v>
      </c>
      <c r="H221" s="40">
        <v>31780</v>
      </c>
    </row>
    <row r="222" spans="1:8" s="15" customFormat="1" ht="27.95" customHeight="1" x14ac:dyDescent="0.2">
      <c r="A222" s="1" t="s">
        <v>1440</v>
      </c>
      <c r="B222" s="43" t="s">
        <v>772</v>
      </c>
      <c r="C222" s="46" t="s">
        <v>17</v>
      </c>
      <c r="D222" s="44" t="s">
        <v>797</v>
      </c>
      <c r="E222" s="34">
        <v>4832</v>
      </c>
      <c r="F222" s="46" t="s">
        <v>784</v>
      </c>
      <c r="G222" s="35">
        <v>32000</v>
      </c>
      <c r="H222" s="40">
        <v>32000</v>
      </c>
    </row>
    <row r="223" spans="1:8" s="15" customFormat="1" ht="27.95" customHeight="1" x14ac:dyDescent="0.2">
      <c r="A223" s="1" t="s">
        <v>1440</v>
      </c>
      <c r="B223" s="43" t="s">
        <v>444</v>
      </c>
      <c r="C223" s="46" t="s">
        <v>17</v>
      </c>
      <c r="D223" s="44" t="s">
        <v>457</v>
      </c>
      <c r="E223" s="47">
        <v>4312</v>
      </c>
      <c r="F223" s="46" t="s">
        <v>470</v>
      </c>
      <c r="G223" s="35">
        <f>10680*3</f>
        <v>32040</v>
      </c>
      <c r="H223" s="40">
        <f>10680*2</f>
        <v>21360</v>
      </c>
    </row>
    <row r="224" spans="1:8" s="15" customFormat="1" ht="27.95" customHeight="1" x14ac:dyDescent="0.2">
      <c r="A224" s="1" t="s">
        <v>1440</v>
      </c>
      <c r="B224" s="43" t="s">
        <v>641</v>
      </c>
      <c r="C224" s="46" t="s">
        <v>39</v>
      </c>
      <c r="D224" s="44" t="s">
        <v>646</v>
      </c>
      <c r="E224" s="34">
        <v>4683</v>
      </c>
      <c r="F224" s="46" t="s">
        <v>652</v>
      </c>
      <c r="G224" s="35">
        <v>32574</v>
      </c>
      <c r="H224" s="40">
        <v>32574</v>
      </c>
    </row>
    <row r="225" spans="1:8" s="15" customFormat="1" ht="27.95" customHeight="1" x14ac:dyDescent="0.2">
      <c r="A225" s="1" t="s">
        <v>1440</v>
      </c>
      <c r="B225" s="43" t="s">
        <v>492</v>
      </c>
      <c r="C225" s="46" t="s">
        <v>39</v>
      </c>
      <c r="D225" s="44" t="s">
        <v>503</v>
      </c>
      <c r="E225" s="47">
        <v>4396</v>
      </c>
      <c r="F225" s="46" t="s">
        <v>519</v>
      </c>
      <c r="G225" s="35">
        <f>10985*3</f>
        <v>32955</v>
      </c>
      <c r="H225" s="40">
        <f>10985*3</f>
        <v>32955</v>
      </c>
    </row>
    <row r="226" spans="1:8" s="15" customFormat="1" ht="27.95" customHeight="1" x14ac:dyDescent="0.2">
      <c r="A226" s="1" t="s">
        <v>1440</v>
      </c>
      <c r="B226" s="43" t="s">
        <v>636</v>
      </c>
      <c r="C226" s="46" t="s">
        <v>17</v>
      </c>
      <c r="D226" s="44" t="s">
        <v>643</v>
      </c>
      <c r="E226" s="34">
        <v>4663</v>
      </c>
      <c r="F226" s="46" t="s">
        <v>648</v>
      </c>
      <c r="G226" s="35">
        <f>11000*3</f>
        <v>33000</v>
      </c>
      <c r="H226" s="40">
        <f>11000*3</f>
        <v>33000</v>
      </c>
    </row>
    <row r="227" spans="1:8" s="15" customFormat="1" ht="27.95" customHeight="1" x14ac:dyDescent="0.2">
      <c r="A227" s="1" t="s">
        <v>1440</v>
      </c>
      <c r="B227" s="43" t="s">
        <v>824</v>
      </c>
      <c r="C227" s="46" t="s">
        <v>39</v>
      </c>
      <c r="D227" s="44" t="s">
        <v>847</v>
      </c>
      <c r="E227" s="34">
        <v>4966</v>
      </c>
      <c r="F227" s="46" t="s">
        <v>862</v>
      </c>
      <c r="G227" s="35">
        <f>11071*3</f>
        <v>33213</v>
      </c>
      <c r="H227" s="40">
        <f>11071*3</f>
        <v>33213</v>
      </c>
    </row>
    <row r="228" spans="1:8" s="15" customFormat="1" ht="27.95" customHeight="1" x14ac:dyDescent="0.2">
      <c r="A228" s="1" t="s">
        <v>1440</v>
      </c>
      <c r="B228" s="43" t="s">
        <v>451</v>
      </c>
      <c r="C228" s="46" t="s">
        <v>21</v>
      </c>
      <c r="D228" s="44" t="s">
        <v>107</v>
      </c>
      <c r="E228" s="47">
        <v>4160</v>
      </c>
      <c r="F228" s="46" t="s">
        <v>477</v>
      </c>
      <c r="G228" s="35">
        <v>34500</v>
      </c>
      <c r="H228" s="40">
        <v>72000</v>
      </c>
    </row>
    <row r="229" spans="1:8" s="15" customFormat="1" ht="27.95" customHeight="1" x14ac:dyDescent="0.2">
      <c r="A229" s="1" t="s">
        <v>1440</v>
      </c>
      <c r="B229" s="43" t="s">
        <v>1250</v>
      </c>
      <c r="C229" s="46" t="s">
        <v>48</v>
      </c>
      <c r="D229" s="44" t="s">
        <v>644</v>
      </c>
      <c r="E229" s="47">
        <v>5810</v>
      </c>
      <c r="F229" s="46" t="s">
        <v>1241</v>
      </c>
      <c r="G229" s="35">
        <v>35000</v>
      </c>
      <c r="H229" s="40">
        <v>35000</v>
      </c>
    </row>
    <row r="230" spans="1:8" s="15" customFormat="1" ht="27.95" customHeight="1" x14ac:dyDescent="0.2">
      <c r="A230" s="1" t="s">
        <v>1440</v>
      </c>
      <c r="B230" s="43" t="s">
        <v>888</v>
      </c>
      <c r="C230" s="46" t="s">
        <v>39</v>
      </c>
      <c r="D230" s="44" t="s">
        <v>230</v>
      </c>
      <c r="E230" s="34">
        <v>4806</v>
      </c>
      <c r="F230" s="46" t="s">
        <v>883</v>
      </c>
      <c r="G230" s="35">
        <v>35273</v>
      </c>
      <c r="H230" s="40">
        <v>35273</v>
      </c>
    </row>
    <row r="231" spans="1:8" s="15" customFormat="1" ht="27.95" customHeight="1" x14ac:dyDescent="0.2">
      <c r="A231" s="1" t="s">
        <v>1440</v>
      </c>
      <c r="B231" s="43" t="s">
        <v>899</v>
      </c>
      <c r="C231" s="46" t="s">
        <v>46</v>
      </c>
      <c r="D231" s="44" t="s">
        <v>52</v>
      </c>
      <c r="E231" s="34">
        <v>5081</v>
      </c>
      <c r="F231" s="46" t="s">
        <v>915</v>
      </c>
      <c r="G231" s="35">
        <v>35439</v>
      </c>
      <c r="H231" s="40">
        <v>35439</v>
      </c>
    </row>
    <row r="232" spans="1:8" s="15" customFormat="1" ht="27.95" customHeight="1" x14ac:dyDescent="0.2">
      <c r="A232" s="1" t="s">
        <v>1440</v>
      </c>
      <c r="B232" s="43" t="s">
        <v>145</v>
      </c>
      <c r="C232" s="46" t="s">
        <v>20</v>
      </c>
      <c r="D232" s="44" t="s">
        <v>203</v>
      </c>
      <c r="E232" s="34">
        <v>3791</v>
      </c>
      <c r="F232" s="46" t="s">
        <v>174</v>
      </c>
      <c r="G232" s="35">
        <f>12000*3</f>
        <v>36000</v>
      </c>
      <c r="H232" s="40">
        <f>12000*3</f>
        <v>36000</v>
      </c>
    </row>
    <row r="233" spans="1:8" s="15" customFormat="1" ht="27.95" customHeight="1" x14ac:dyDescent="0.2">
      <c r="A233" s="1" t="s">
        <v>1440</v>
      </c>
      <c r="B233" s="43" t="s">
        <v>153</v>
      </c>
      <c r="C233" s="46" t="s">
        <v>20</v>
      </c>
      <c r="D233" s="44" t="s">
        <v>122</v>
      </c>
      <c r="E233" s="47">
        <v>3928</v>
      </c>
      <c r="F233" s="46" t="s">
        <v>181</v>
      </c>
      <c r="G233" s="35">
        <f>12000*3</f>
        <v>36000</v>
      </c>
      <c r="H233" s="40">
        <f>12000*3</f>
        <v>36000</v>
      </c>
    </row>
    <row r="234" spans="1:8" s="15" customFormat="1" ht="27.95" customHeight="1" x14ac:dyDescent="0.2">
      <c r="A234" s="1" t="s">
        <v>1440</v>
      </c>
      <c r="B234" s="43" t="s">
        <v>166</v>
      </c>
      <c r="C234" s="46" t="s">
        <v>21</v>
      </c>
      <c r="D234" s="44" t="s">
        <v>214</v>
      </c>
      <c r="E234" s="34">
        <v>4146</v>
      </c>
      <c r="F234" s="46" t="s">
        <v>194</v>
      </c>
      <c r="G234" s="35">
        <v>36000</v>
      </c>
      <c r="H234" s="40">
        <v>12000</v>
      </c>
    </row>
    <row r="235" spans="1:8" s="15" customFormat="1" ht="27.95" customHeight="1" x14ac:dyDescent="0.2">
      <c r="A235" s="1" t="s">
        <v>1440</v>
      </c>
      <c r="B235" s="43" t="s">
        <v>534</v>
      </c>
      <c r="C235" s="46" t="s">
        <v>39</v>
      </c>
      <c r="D235" s="44" t="s">
        <v>552</v>
      </c>
      <c r="E235" s="47">
        <v>4474</v>
      </c>
      <c r="F235" s="46" t="s">
        <v>565</v>
      </c>
      <c r="G235" s="35">
        <f>12000*3</f>
        <v>36000</v>
      </c>
      <c r="H235" s="40">
        <f>12000*3</f>
        <v>36000</v>
      </c>
    </row>
    <row r="236" spans="1:8" s="15" customFormat="1" ht="27.95" customHeight="1" x14ac:dyDescent="0.2">
      <c r="A236" s="1" t="s">
        <v>1440</v>
      </c>
      <c r="B236" s="43" t="s">
        <v>817</v>
      </c>
      <c r="C236" s="46" t="s">
        <v>825</v>
      </c>
      <c r="D236" s="44" t="s">
        <v>841</v>
      </c>
      <c r="E236" s="34">
        <v>4464</v>
      </c>
      <c r="F236" s="46" t="s">
        <v>853</v>
      </c>
      <c r="G236" s="35">
        <f>12000*3</f>
        <v>36000</v>
      </c>
      <c r="H236" s="40">
        <f>12000*3</f>
        <v>36000</v>
      </c>
    </row>
    <row r="237" spans="1:8" s="15" customFormat="1" ht="27.95" customHeight="1" x14ac:dyDescent="0.2">
      <c r="A237" s="1" t="s">
        <v>1440</v>
      </c>
      <c r="B237" s="43" t="s">
        <v>920</v>
      </c>
      <c r="C237" s="46" t="s">
        <v>40</v>
      </c>
      <c r="D237" s="44" t="s">
        <v>925</v>
      </c>
      <c r="E237" s="34">
        <v>5015</v>
      </c>
      <c r="F237" s="46" t="s">
        <v>930</v>
      </c>
      <c r="G237" s="35">
        <f>12000*3</f>
        <v>36000</v>
      </c>
      <c r="H237" s="40">
        <f>12000*3</f>
        <v>36000</v>
      </c>
    </row>
    <row r="238" spans="1:8" s="15" customFormat="1" ht="27.95" customHeight="1" x14ac:dyDescent="0.2">
      <c r="A238" s="1" t="s">
        <v>1440</v>
      </c>
      <c r="B238" s="43" t="s">
        <v>1006</v>
      </c>
      <c r="C238" s="46" t="s">
        <v>76</v>
      </c>
      <c r="D238" s="44" t="s">
        <v>1011</v>
      </c>
      <c r="E238" s="34">
        <v>5230</v>
      </c>
      <c r="F238" s="46" t="s">
        <v>1016</v>
      </c>
      <c r="G238" s="35">
        <f>12000*3</f>
        <v>36000</v>
      </c>
      <c r="H238" s="40">
        <v>12000</v>
      </c>
    </row>
    <row r="239" spans="1:8" s="15" customFormat="1" ht="27.95" customHeight="1" x14ac:dyDescent="0.2">
      <c r="A239" s="1" t="s">
        <v>1440</v>
      </c>
      <c r="B239" s="43" t="s">
        <v>1266</v>
      </c>
      <c r="C239" s="46" t="s">
        <v>45</v>
      </c>
      <c r="D239" s="44" t="s">
        <v>1269</v>
      </c>
      <c r="E239" s="47" t="s">
        <v>1271</v>
      </c>
      <c r="F239" s="46" t="s">
        <v>1274</v>
      </c>
      <c r="G239" s="35">
        <v>36400</v>
      </c>
      <c r="H239" s="40">
        <v>403563</v>
      </c>
    </row>
    <row r="240" spans="1:8" s="15" customFormat="1" ht="27.95" customHeight="1" x14ac:dyDescent="0.2">
      <c r="A240" s="1" t="s">
        <v>1440</v>
      </c>
      <c r="B240" s="43" t="s">
        <v>442</v>
      </c>
      <c r="C240" s="46" t="s">
        <v>20</v>
      </c>
      <c r="D240" s="44" t="s">
        <v>456</v>
      </c>
      <c r="E240" s="47">
        <v>4325</v>
      </c>
      <c r="F240" s="46" t="s">
        <v>468</v>
      </c>
      <c r="G240" s="35">
        <f>12290*3</f>
        <v>36870</v>
      </c>
      <c r="H240" s="40">
        <f>12290*3</f>
        <v>36870</v>
      </c>
    </row>
    <row r="241" spans="1:8" s="15" customFormat="1" ht="27.95" customHeight="1" x14ac:dyDescent="0.2">
      <c r="A241" s="1" t="s">
        <v>1440</v>
      </c>
      <c r="B241" s="43" t="s">
        <v>304</v>
      </c>
      <c r="C241" s="46" t="s">
        <v>48</v>
      </c>
      <c r="D241" s="44" t="s">
        <v>310</v>
      </c>
      <c r="E241" s="47">
        <v>4266</v>
      </c>
      <c r="F241" s="46" t="s">
        <v>316</v>
      </c>
      <c r="G241" s="35">
        <v>39819</v>
      </c>
      <c r="H241" s="40">
        <v>39819</v>
      </c>
    </row>
    <row r="242" spans="1:8" s="15" customFormat="1" ht="27.95" customHeight="1" x14ac:dyDescent="0.2">
      <c r="A242" s="1" t="s">
        <v>1440</v>
      </c>
      <c r="B242" s="43" t="s">
        <v>1063</v>
      </c>
      <c r="C242" s="46" t="s">
        <v>21</v>
      </c>
      <c r="D242" s="44" t="s">
        <v>1069</v>
      </c>
      <c r="E242" s="34">
        <v>5349</v>
      </c>
      <c r="F242" s="46" t="s">
        <v>1076</v>
      </c>
      <c r="G242" s="35">
        <v>40385</v>
      </c>
      <c r="H242" s="40">
        <v>40385</v>
      </c>
    </row>
    <row r="243" spans="1:8" s="15" customFormat="1" ht="27.95" customHeight="1" x14ac:dyDescent="0.2">
      <c r="A243" s="1" t="s">
        <v>1440</v>
      </c>
      <c r="B243" s="43" t="s">
        <v>403</v>
      </c>
      <c r="C243" s="46" t="s">
        <v>49</v>
      </c>
      <c r="D243" s="44" t="s">
        <v>416</v>
      </c>
      <c r="E243" s="34">
        <v>4253</v>
      </c>
      <c r="F243" s="46" t="s">
        <v>434</v>
      </c>
      <c r="G243" s="35">
        <f>13500*3</f>
        <v>40500</v>
      </c>
      <c r="H243" s="40">
        <f>13500*3</f>
        <v>40500</v>
      </c>
    </row>
    <row r="244" spans="1:8" s="15" customFormat="1" ht="27.95" customHeight="1" x14ac:dyDescent="0.2">
      <c r="A244" s="1" t="s">
        <v>1440</v>
      </c>
      <c r="B244" s="43" t="s">
        <v>546</v>
      </c>
      <c r="C244" s="46" t="s">
        <v>45</v>
      </c>
      <c r="D244" s="44" t="s">
        <v>207</v>
      </c>
      <c r="E244" s="47">
        <v>3912</v>
      </c>
      <c r="F244" s="46" t="s">
        <v>576</v>
      </c>
      <c r="G244" s="35">
        <f>13500*3</f>
        <v>40500</v>
      </c>
      <c r="H244" s="40">
        <f>13500*3</f>
        <v>40500</v>
      </c>
    </row>
    <row r="245" spans="1:8" s="15" customFormat="1" ht="27.95" customHeight="1" x14ac:dyDescent="0.2">
      <c r="A245" s="1" t="s">
        <v>1440</v>
      </c>
      <c r="B245" s="43" t="s">
        <v>159</v>
      </c>
      <c r="C245" s="46" t="s">
        <v>65</v>
      </c>
      <c r="D245" s="44" t="s">
        <v>212</v>
      </c>
      <c r="E245" s="47">
        <v>4011</v>
      </c>
      <c r="F245" s="46" t="s">
        <v>187</v>
      </c>
      <c r="G245" s="49">
        <f>13752*3</f>
        <v>41256</v>
      </c>
      <c r="H245" s="50">
        <f>13752*3</f>
        <v>41256</v>
      </c>
    </row>
    <row r="246" spans="1:8" s="15" customFormat="1" ht="27.95" customHeight="1" x14ac:dyDescent="0.2">
      <c r="A246" s="1" t="s">
        <v>1440</v>
      </c>
      <c r="B246" s="43" t="s">
        <v>396</v>
      </c>
      <c r="C246" s="46" t="s">
        <v>92</v>
      </c>
      <c r="D246" s="44" t="s">
        <v>411</v>
      </c>
      <c r="E246" s="34">
        <v>4285</v>
      </c>
      <c r="F246" s="46" t="s">
        <v>427</v>
      </c>
      <c r="G246" s="35">
        <f>14250*3</f>
        <v>42750</v>
      </c>
      <c r="H246" s="40">
        <f>14250*3</f>
        <v>42750</v>
      </c>
    </row>
    <row r="247" spans="1:8" s="15" customFormat="1" ht="27.95" customHeight="1" x14ac:dyDescent="0.2">
      <c r="A247" s="1" t="s">
        <v>1440</v>
      </c>
      <c r="B247" s="43" t="s">
        <v>443</v>
      </c>
      <c r="C247" s="46" t="s">
        <v>39</v>
      </c>
      <c r="D247" s="44" t="s">
        <v>91</v>
      </c>
      <c r="E247" s="47">
        <v>4318</v>
      </c>
      <c r="F247" s="46" t="s">
        <v>469</v>
      </c>
      <c r="G247" s="35">
        <f>13970+14500+15000</f>
        <v>43470</v>
      </c>
      <c r="H247" s="40">
        <f>13970+14500+15000</f>
        <v>43470</v>
      </c>
    </row>
    <row r="248" spans="1:8" s="15" customFormat="1" ht="27.95" customHeight="1" x14ac:dyDescent="0.2">
      <c r="A248" s="1" t="s">
        <v>1440</v>
      </c>
      <c r="B248" s="43" t="s">
        <v>479</v>
      </c>
      <c r="C248" s="46" t="s">
        <v>39</v>
      </c>
      <c r="D248" s="44" t="s">
        <v>494</v>
      </c>
      <c r="E248" s="47">
        <v>4391</v>
      </c>
      <c r="F248" s="46" t="s">
        <v>505</v>
      </c>
      <c r="G248" s="35">
        <f>14696*3</f>
        <v>44088</v>
      </c>
      <c r="H248" s="40">
        <f>14696*3</f>
        <v>44088</v>
      </c>
    </row>
    <row r="249" spans="1:8" s="15" customFormat="1" ht="27.95" customHeight="1" x14ac:dyDescent="0.2">
      <c r="A249" s="1" t="s">
        <v>1440</v>
      </c>
      <c r="B249" s="43" t="s">
        <v>600</v>
      </c>
      <c r="C249" s="46" t="s">
        <v>45</v>
      </c>
      <c r="D249" s="44" t="s">
        <v>51</v>
      </c>
      <c r="E249" s="34">
        <v>3662</v>
      </c>
      <c r="F249" s="46" t="s">
        <v>663</v>
      </c>
      <c r="G249" s="35">
        <f>14796*3</f>
        <v>44388</v>
      </c>
      <c r="H249" s="40">
        <f>14796*3</f>
        <v>44388</v>
      </c>
    </row>
    <row r="250" spans="1:8" s="15" customFormat="1" ht="27.95" customHeight="1" x14ac:dyDescent="0.2">
      <c r="A250" s="1" t="s">
        <v>1440</v>
      </c>
      <c r="B250" s="43" t="s">
        <v>894</v>
      </c>
      <c r="C250" s="46" t="s">
        <v>40</v>
      </c>
      <c r="D250" s="44" t="s">
        <v>1046</v>
      </c>
      <c r="E250" s="34">
        <v>4856</v>
      </c>
      <c r="F250" s="46" t="s">
        <v>910</v>
      </c>
      <c r="G250" s="35">
        <v>44500</v>
      </c>
      <c r="H250" s="40">
        <v>44500</v>
      </c>
    </row>
    <row r="251" spans="1:8" s="15" customFormat="1" ht="27.95" customHeight="1" x14ac:dyDescent="0.2">
      <c r="A251" s="1" t="s">
        <v>1440</v>
      </c>
      <c r="B251" s="43" t="s">
        <v>1292</v>
      </c>
      <c r="C251" s="46" t="s">
        <v>1296</v>
      </c>
      <c r="D251" s="44" t="s">
        <v>1297</v>
      </c>
      <c r="E251" s="47">
        <v>5953</v>
      </c>
      <c r="F251" s="46" t="s">
        <v>1311</v>
      </c>
      <c r="G251" s="35">
        <v>44500</v>
      </c>
      <c r="H251" s="40">
        <v>44500</v>
      </c>
    </row>
    <row r="252" spans="1:8" s="15" customFormat="1" ht="27.95" customHeight="1" x14ac:dyDescent="0.2">
      <c r="A252" s="1" t="s">
        <v>1440</v>
      </c>
      <c r="B252" s="43" t="s">
        <v>583</v>
      </c>
      <c r="C252" s="46" t="s">
        <v>76</v>
      </c>
      <c r="D252" s="44" t="s">
        <v>595</v>
      </c>
      <c r="E252" s="34">
        <v>4448</v>
      </c>
      <c r="F252" s="46" t="s">
        <v>110</v>
      </c>
      <c r="G252" s="35">
        <v>44600</v>
      </c>
      <c r="H252" s="40">
        <v>48000</v>
      </c>
    </row>
    <row r="253" spans="1:8" s="15" customFormat="1" ht="27.95" customHeight="1" x14ac:dyDescent="0.2">
      <c r="A253" s="1" t="s">
        <v>1440</v>
      </c>
      <c r="B253" s="43" t="s">
        <v>126</v>
      </c>
      <c r="C253" s="45" t="s">
        <v>48</v>
      </c>
      <c r="D253" s="45" t="s">
        <v>57</v>
      </c>
      <c r="E253" s="54" t="s">
        <v>131</v>
      </c>
      <c r="F253" s="46" t="s">
        <v>128</v>
      </c>
      <c r="G253" s="41">
        <v>45000</v>
      </c>
      <c r="H253" s="41">
        <v>24000</v>
      </c>
    </row>
    <row r="254" spans="1:8" s="15" customFormat="1" ht="27.95" customHeight="1" x14ac:dyDescent="0.2">
      <c r="A254" s="1" t="s">
        <v>1440</v>
      </c>
      <c r="B254" s="43" t="s">
        <v>168</v>
      </c>
      <c r="C254" s="46" t="s">
        <v>19</v>
      </c>
      <c r="D254" s="44" t="s">
        <v>28</v>
      </c>
      <c r="E254" s="34">
        <v>4152</v>
      </c>
      <c r="F254" s="46" t="s">
        <v>196</v>
      </c>
      <c r="G254" s="35">
        <f>15000*3</f>
        <v>45000</v>
      </c>
      <c r="H254" s="40">
        <f>15000*3</f>
        <v>45000</v>
      </c>
    </row>
    <row r="255" spans="1:8" s="15" customFormat="1" ht="27.95" customHeight="1" x14ac:dyDescent="0.2">
      <c r="A255" s="1" t="s">
        <v>1440</v>
      </c>
      <c r="B255" s="43" t="s">
        <v>258</v>
      </c>
      <c r="C255" s="46" t="s">
        <v>125</v>
      </c>
      <c r="D255" s="44" t="s">
        <v>289</v>
      </c>
      <c r="E255" s="47" t="s">
        <v>294</v>
      </c>
      <c r="F255" s="46" t="s">
        <v>274</v>
      </c>
      <c r="G255" s="35">
        <v>45000</v>
      </c>
      <c r="H255" s="40">
        <v>39400</v>
      </c>
    </row>
    <row r="256" spans="1:8" s="15" customFormat="1" ht="27.95" customHeight="1" x14ac:dyDescent="0.2">
      <c r="A256" s="1" t="s">
        <v>1440</v>
      </c>
      <c r="B256" s="43" t="s">
        <v>298</v>
      </c>
      <c r="C256" s="46" t="s">
        <v>75</v>
      </c>
      <c r="D256" s="44" t="s">
        <v>77</v>
      </c>
      <c r="E256" s="34">
        <v>4168</v>
      </c>
      <c r="F256" s="46" t="s">
        <v>79</v>
      </c>
      <c r="G256" s="35">
        <v>45000</v>
      </c>
      <c r="H256" s="40">
        <v>45000</v>
      </c>
    </row>
    <row r="257" spans="1:8" s="15" customFormat="1" ht="27.95" customHeight="1" x14ac:dyDescent="0.2">
      <c r="A257" s="1" t="s">
        <v>1440</v>
      </c>
      <c r="B257" s="43" t="s">
        <v>325</v>
      </c>
      <c r="C257" s="46" t="s">
        <v>26</v>
      </c>
      <c r="D257" s="44" t="s">
        <v>348</v>
      </c>
      <c r="E257" s="47" t="s">
        <v>366</v>
      </c>
      <c r="F257" s="46" t="s">
        <v>35</v>
      </c>
      <c r="G257" s="35">
        <v>45000</v>
      </c>
      <c r="H257" s="40">
        <v>45000</v>
      </c>
    </row>
    <row r="258" spans="1:8" s="15" customFormat="1" ht="27.95" customHeight="1" x14ac:dyDescent="0.2">
      <c r="A258" s="1" t="s">
        <v>1440</v>
      </c>
      <c r="B258" s="43" t="s">
        <v>387</v>
      </c>
      <c r="C258" s="46" t="s">
        <v>40</v>
      </c>
      <c r="D258" s="44" t="s">
        <v>54</v>
      </c>
      <c r="E258" s="34">
        <v>4141</v>
      </c>
      <c r="F258" s="46" t="s">
        <v>44</v>
      </c>
      <c r="G258" s="35">
        <f>15000*3</f>
        <v>45000</v>
      </c>
      <c r="H258" s="40">
        <f>15000*3</f>
        <v>45000</v>
      </c>
    </row>
    <row r="259" spans="1:8" s="15" customFormat="1" ht="27.95" customHeight="1" x14ac:dyDescent="0.2">
      <c r="A259" s="1" t="s">
        <v>1440</v>
      </c>
      <c r="B259" s="43" t="s">
        <v>478</v>
      </c>
      <c r="C259" s="46" t="s">
        <v>39</v>
      </c>
      <c r="D259" s="44" t="s">
        <v>84</v>
      </c>
      <c r="E259" s="47">
        <v>4377</v>
      </c>
      <c r="F259" s="46" t="s">
        <v>504</v>
      </c>
      <c r="G259" s="35">
        <f>15000*3</f>
        <v>45000</v>
      </c>
      <c r="H259" s="40">
        <f>15000*3</f>
        <v>45000</v>
      </c>
    </row>
    <row r="260" spans="1:8" s="15" customFormat="1" ht="27.95" customHeight="1" x14ac:dyDescent="0.2">
      <c r="A260" s="1" t="s">
        <v>1440</v>
      </c>
      <c r="B260" s="43" t="s">
        <v>484</v>
      </c>
      <c r="C260" s="46" t="s">
        <v>46</v>
      </c>
      <c r="D260" s="44" t="s">
        <v>496</v>
      </c>
      <c r="E260" s="47">
        <v>4406</v>
      </c>
      <c r="F260" s="46" t="s">
        <v>510</v>
      </c>
      <c r="G260" s="35">
        <f>15000*3</f>
        <v>45000</v>
      </c>
      <c r="H260" s="40">
        <f>15000*3</f>
        <v>45000</v>
      </c>
    </row>
    <row r="261" spans="1:8" s="15" customFormat="1" ht="27.95" customHeight="1" x14ac:dyDescent="0.2">
      <c r="A261" s="1" t="s">
        <v>1440</v>
      </c>
      <c r="B261" s="43" t="s">
        <v>489</v>
      </c>
      <c r="C261" s="46" t="s">
        <v>17</v>
      </c>
      <c r="D261" s="44" t="s">
        <v>500</v>
      </c>
      <c r="E261" s="47">
        <v>3942</v>
      </c>
      <c r="F261" s="46" t="s">
        <v>515</v>
      </c>
      <c r="G261" s="35">
        <f>15000*3</f>
        <v>45000</v>
      </c>
      <c r="H261" s="40">
        <f>15000*3</f>
        <v>45000</v>
      </c>
    </row>
    <row r="262" spans="1:8" s="15" customFormat="1" ht="27.95" customHeight="1" x14ac:dyDescent="0.2">
      <c r="A262" s="1" t="s">
        <v>1440</v>
      </c>
      <c r="B262" s="43" t="s">
        <v>541</v>
      </c>
      <c r="C262" s="46" t="s">
        <v>551</v>
      </c>
      <c r="D262" s="44" t="s">
        <v>556</v>
      </c>
      <c r="E262" s="47">
        <v>4181</v>
      </c>
      <c r="F262" s="46" t="s">
        <v>571</v>
      </c>
      <c r="G262" s="35">
        <f>15000*3</f>
        <v>45000</v>
      </c>
      <c r="H262" s="40">
        <f>15000*3</f>
        <v>45000</v>
      </c>
    </row>
    <row r="263" spans="1:8" s="15" customFormat="1" ht="27.95" customHeight="1" x14ac:dyDescent="0.2">
      <c r="A263" s="1" t="s">
        <v>1440</v>
      </c>
      <c r="B263" s="43" t="s">
        <v>550</v>
      </c>
      <c r="C263" s="46" t="s">
        <v>39</v>
      </c>
      <c r="D263" s="44" t="s">
        <v>562</v>
      </c>
      <c r="E263" s="34">
        <v>4477</v>
      </c>
      <c r="F263" s="46" t="s">
        <v>580</v>
      </c>
      <c r="G263" s="35">
        <f>15000*3</f>
        <v>45000</v>
      </c>
      <c r="H263" s="40">
        <f>15000*3</f>
        <v>45000</v>
      </c>
    </row>
    <row r="264" spans="1:8" s="15" customFormat="1" ht="27.95" customHeight="1" x14ac:dyDescent="0.2">
      <c r="A264" s="1" t="s">
        <v>1440</v>
      </c>
      <c r="B264" s="43" t="s">
        <v>742</v>
      </c>
      <c r="C264" s="46" t="s">
        <v>39</v>
      </c>
      <c r="D264" s="44" t="s">
        <v>760</v>
      </c>
      <c r="E264" s="34">
        <v>4880</v>
      </c>
      <c r="F264" s="46" t="s">
        <v>753</v>
      </c>
      <c r="G264" s="35">
        <f>15000*3</f>
        <v>45000</v>
      </c>
      <c r="H264" s="40">
        <f>15000*3</f>
        <v>45000</v>
      </c>
    </row>
    <row r="265" spans="1:8" s="15" customFormat="1" ht="27.95" customHeight="1" x14ac:dyDescent="0.2">
      <c r="A265" s="1" t="s">
        <v>1440</v>
      </c>
      <c r="B265" s="43" t="s">
        <v>804</v>
      </c>
      <c r="C265" s="46" t="s">
        <v>825</v>
      </c>
      <c r="D265" s="44" t="s">
        <v>828</v>
      </c>
      <c r="E265" s="34">
        <v>4069</v>
      </c>
      <c r="F265" s="46" t="s">
        <v>850</v>
      </c>
      <c r="G265" s="35">
        <f>15000*3</f>
        <v>45000</v>
      </c>
      <c r="H265" s="40">
        <f>15000*3</f>
        <v>45000</v>
      </c>
    </row>
    <row r="266" spans="1:8" s="15" customFormat="1" ht="27.95" customHeight="1" x14ac:dyDescent="0.2">
      <c r="A266" s="1" t="s">
        <v>1440</v>
      </c>
      <c r="B266" s="43" t="s">
        <v>807</v>
      </c>
      <c r="C266" s="46" t="s">
        <v>825</v>
      </c>
      <c r="D266" s="44" t="s">
        <v>831</v>
      </c>
      <c r="E266" s="34">
        <v>4097</v>
      </c>
      <c r="F266" s="46" t="s">
        <v>853</v>
      </c>
      <c r="G266" s="35">
        <f>15000*3</f>
        <v>45000</v>
      </c>
      <c r="H266" s="40">
        <f>15000*3</f>
        <v>45000</v>
      </c>
    </row>
    <row r="267" spans="1:8" s="15" customFormat="1" ht="27.95" customHeight="1" x14ac:dyDescent="0.2">
      <c r="A267" s="1" t="s">
        <v>1440</v>
      </c>
      <c r="B267" s="43" t="s">
        <v>808</v>
      </c>
      <c r="C267" s="46" t="s">
        <v>825</v>
      </c>
      <c r="D267" s="44" t="s">
        <v>832</v>
      </c>
      <c r="E267" s="34">
        <v>4099</v>
      </c>
      <c r="F267" s="46" t="s">
        <v>854</v>
      </c>
      <c r="G267" s="35">
        <f>15000*3</f>
        <v>45000</v>
      </c>
      <c r="H267" s="40">
        <f>15000*3</f>
        <v>45000</v>
      </c>
    </row>
    <row r="268" spans="1:8" s="15" customFormat="1" ht="27.95" customHeight="1" x14ac:dyDescent="0.2">
      <c r="A268" s="1" t="s">
        <v>1440</v>
      </c>
      <c r="B268" s="43" t="s">
        <v>809</v>
      </c>
      <c r="C268" s="46" t="s">
        <v>825</v>
      </c>
      <c r="D268" s="44" t="s">
        <v>833</v>
      </c>
      <c r="E268" s="34">
        <v>4100</v>
      </c>
      <c r="F268" s="46" t="s">
        <v>855</v>
      </c>
      <c r="G268" s="35">
        <f>15000*3</f>
        <v>45000</v>
      </c>
      <c r="H268" s="40">
        <f>15000*3</f>
        <v>45000</v>
      </c>
    </row>
    <row r="269" spans="1:8" s="15" customFormat="1" ht="27.95" customHeight="1" x14ac:dyDescent="0.2">
      <c r="A269" s="1" t="s">
        <v>1440</v>
      </c>
      <c r="B269" s="43" t="s">
        <v>811</v>
      </c>
      <c r="C269" s="46" t="s">
        <v>825</v>
      </c>
      <c r="D269" s="44" t="s">
        <v>835</v>
      </c>
      <c r="E269" s="34">
        <v>4102</v>
      </c>
      <c r="F269" s="46" t="s">
        <v>857</v>
      </c>
      <c r="G269" s="35">
        <f>15000*3</f>
        <v>45000</v>
      </c>
      <c r="H269" s="40">
        <f>15000*3</f>
        <v>45000</v>
      </c>
    </row>
    <row r="270" spans="1:8" s="15" customFormat="1" ht="27.95" customHeight="1" x14ac:dyDescent="0.2">
      <c r="A270" s="1" t="s">
        <v>1440</v>
      </c>
      <c r="B270" s="43" t="s">
        <v>812</v>
      </c>
      <c r="C270" s="46" t="s">
        <v>825</v>
      </c>
      <c r="D270" s="44" t="s">
        <v>836</v>
      </c>
      <c r="E270" s="34">
        <v>4103</v>
      </c>
      <c r="F270" s="46" t="s">
        <v>858</v>
      </c>
      <c r="G270" s="35">
        <f>15000*3</f>
        <v>45000</v>
      </c>
      <c r="H270" s="40">
        <f>15000*3</f>
        <v>45000</v>
      </c>
    </row>
    <row r="271" spans="1:8" s="15" customFormat="1" ht="27.95" customHeight="1" x14ac:dyDescent="0.2">
      <c r="A271" s="1" t="s">
        <v>1440</v>
      </c>
      <c r="B271" s="43" t="s">
        <v>890</v>
      </c>
      <c r="C271" s="46" t="s">
        <v>17</v>
      </c>
      <c r="D271" s="44" t="s">
        <v>892</v>
      </c>
      <c r="E271" s="34">
        <v>4071</v>
      </c>
      <c r="F271" s="46" t="s">
        <v>885</v>
      </c>
      <c r="G271" s="35">
        <f>15000*3</f>
        <v>45000</v>
      </c>
      <c r="H271" s="40">
        <f>15000*3</f>
        <v>45000</v>
      </c>
    </row>
    <row r="272" spans="1:8" s="15" customFormat="1" ht="27.95" customHeight="1" x14ac:dyDescent="0.2">
      <c r="A272" s="1" t="s">
        <v>1440</v>
      </c>
      <c r="B272" s="43" t="s">
        <v>1023</v>
      </c>
      <c r="C272" s="46" t="s">
        <v>76</v>
      </c>
      <c r="D272" s="44" t="s">
        <v>1029</v>
      </c>
      <c r="E272" s="34">
        <v>4827</v>
      </c>
      <c r="F272" s="46" t="s">
        <v>1033</v>
      </c>
      <c r="G272" s="35">
        <f>15000*3</f>
        <v>45000</v>
      </c>
      <c r="H272" s="40">
        <f>15000*3</f>
        <v>45000</v>
      </c>
    </row>
    <row r="273" spans="1:8" s="15" customFormat="1" ht="27.95" customHeight="1" x14ac:dyDescent="0.2">
      <c r="A273" s="1" t="s">
        <v>1440</v>
      </c>
      <c r="B273" s="43" t="s">
        <v>1087</v>
      </c>
      <c r="C273" s="46" t="s">
        <v>1090</v>
      </c>
      <c r="D273" s="44" t="s">
        <v>1094</v>
      </c>
      <c r="E273" s="34">
        <v>5377</v>
      </c>
      <c r="F273" s="46" t="s">
        <v>1099</v>
      </c>
      <c r="G273" s="35">
        <v>45000</v>
      </c>
      <c r="H273" s="40">
        <v>45000</v>
      </c>
    </row>
    <row r="274" spans="1:8" s="15" customFormat="1" ht="27.95" customHeight="1" x14ac:dyDescent="0.2">
      <c r="A274" s="1" t="s">
        <v>1440</v>
      </c>
      <c r="B274" s="43" t="s">
        <v>1101</v>
      </c>
      <c r="C274" s="46" t="s">
        <v>76</v>
      </c>
      <c r="D274" s="44" t="s">
        <v>1110</v>
      </c>
      <c r="E274" s="34">
        <v>5002</v>
      </c>
      <c r="F274" s="46" t="s">
        <v>1116</v>
      </c>
      <c r="G274" s="35">
        <f>15000*3</f>
        <v>45000</v>
      </c>
      <c r="H274" s="40">
        <f>15000*3</f>
        <v>45000</v>
      </c>
    </row>
    <row r="275" spans="1:8" s="15" customFormat="1" ht="27.95" customHeight="1" x14ac:dyDescent="0.2">
      <c r="A275" s="1" t="s">
        <v>1440</v>
      </c>
      <c r="B275" s="43" t="s">
        <v>1192</v>
      </c>
      <c r="C275" s="46" t="s">
        <v>20</v>
      </c>
      <c r="D275" s="44" t="s">
        <v>1197</v>
      </c>
      <c r="E275" s="34">
        <v>3836</v>
      </c>
      <c r="F275" s="46" t="s">
        <v>1230</v>
      </c>
      <c r="G275" s="35">
        <f>15000*3</f>
        <v>45000</v>
      </c>
      <c r="H275" s="40">
        <f>15000*3</f>
        <v>45000</v>
      </c>
    </row>
    <row r="276" spans="1:8" s="15" customFormat="1" ht="27.95" customHeight="1" x14ac:dyDescent="0.2">
      <c r="A276" s="1" t="s">
        <v>1440</v>
      </c>
      <c r="B276" s="43" t="s">
        <v>1419</v>
      </c>
      <c r="C276" s="46" t="s">
        <v>50</v>
      </c>
      <c r="D276" s="44" t="s">
        <v>1422</v>
      </c>
      <c r="E276" s="47" t="s">
        <v>41</v>
      </c>
      <c r="F276" s="46" t="s">
        <v>1425</v>
      </c>
      <c r="G276" s="35">
        <v>45400</v>
      </c>
      <c r="H276" s="40">
        <v>45000</v>
      </c>
    </row>
    <row r="277" spans="1:8" s="15" customFormat="1" ht="27.95" customHeight="1" x14ac:dyDescent="0.2">
      <c r="A277" s="1" t="s">
        <v>1440</v>
      </c>
      <c r="B277" s="43" t="s">
        <v>162</v>
      </c>
      <c r="C277" s="46" t="s">
        <v>65</v>
      </c>
      <c r="D277" s="44" t="s">
        <v>213</v>
      </c>
      <c r="E277" s="47">
        <v>4032</v>
      </c>
      <c r="F277" s="46" t="s">
        <v>190</v>
      </c>
      <c r="G277" s="49">
        <f>15250*3</f>
        <v>45750</v>
      </c>
      <c r="H277" s="50">
        <f>15250*3</f>
        <v>45750</v>
      </c>
    </row>
    <row r="278" spans="1:8" s="15" customFormat="1" ht="27.95" customHeight="1" x14ac:dyDescent="0.2">
      <c r="A278" s="1" t="s">
        <v>1440</v>
      </c>
      <c r="B278" s="43" t="s">
        <v>1386</v>
      </c>
      <c r="C278" s="46" t="s">
        <v>66</v>
      </c>
      <c r="D278" s="44" t="s">
        <v>1393</v>
      </c>
      <c r="E278" s="34">
        <v>5985</v>
      </c>
      <c r="F278" s="46" t="s">
        <v>1402</v>
      </c>
      <c r="G278" s="35">
        <f>15312*3</f>
        <v>45936</v>
      </c>
      <c r="H278" s="40">
        <f>15312*3</f>
        <v>45936</v>
      </c>
    </row>
    <row r="279" spans="1:8" s="15" customFormat="1" ht="27.95" customHeight="1" x14ac:dyDescent="0.2">
      <c r="A279" s="1" t="s">
        <v>1440</v>
      </c>
      <c r="B279" s="43" t="s">
        <v>1359</v>
      </c>
      <c r="C279" s="46" t="s">
        <v>1361</v>
      </c>
      <c r="D279" s="44" t="s">
        <v>1362</v>
      </c>
      <c r="E279" s="47">
        <v>6180</v>
      </c>
      <c r="F279" s="46" t="s">
        <v>1364</v>
      </c>
      <c r="G279" s="35">
        <v>46000</v>
      </c>
      <c r="H279" s="40">
        <v>46000</v>
      </c>
    </row>
    <row r="280" spans="1:8" s="15" customFormat="1" ht="27.95" customHeight="1" x14ac:dyDescent="0.2">
      <c r="A280" s="1" t="s">
        <v>1440</v>
      </c>
      <c r="B280" s="43" t="s">
        <v>1004</v>
      </c>
      <c r="C280" s="46" t="s">
        <v>48</v>
      </c>
      <c r="D280" s="44" t="s">
        <v>1010</v>
      </c>
      <c r="E280" s="34">
        <v>5268</v>
      </c>
      <c r="F280" s="46" t="s">
        <v>1014</v>
      </c>
      <c r="G280" s="35">
        <v>46086</v>
      </c>
      <c r="H280" s="40">
        <v>46086</v>
      </c>
    </row>
    <row r="281" spans="1:8" s="15" customFormat="1" ht="27.95" customHeight="1" x14ac:dyDescent="0.2">
      <c r="A281" s="1" t="s">
        <v>1440</v>
      </c>
      <c r="B281" s="43" t="s">
        <v>1021</v>
      </c>
      <c r="C281" s="46" t="s">
        <v>80</v>
      </c>
      <c r="D281" s="44" t="s">
        <v>1026</v>
      </c>
      <c r="E281" s="34">
        <v>5231</v>
      </c>
      <c r="F281" s="46" t="s">
        <v>1031</v>
      </c>
      <c r="G281" s="35">
        <v>46800</v>
      </c>
      <c r="H281" s="40">
        <v>46800</v>
      </c>
    </row>
    <row r="282" spans="1:8" s="15" customFormat="1" ht="27.95" customHeight="1" x14ac:dyDescent="0.2">
      <c r="A282" s="1" t="s">
        <v>1440</v>
      </c>
      <c r="B282" s="43" t="s">
        <v>958</v>
      </c>
      <c r="C282" s="46" t="s">
        <v>17</v>
      </c>
      <c r="D282" s="44" t="s">
        <v>968</v>
      </c>
      <c r="E282" s="34">
        <v>5159</v>
      </c>
      <c r="F282" s="46" t="s">
        <v>963</v>
      </c>
      <c r="G282" s="35">
        <v>46900</v>
      </c>
      <c r="H282" s="40">
        <v>702341</v>
      </c>
    </row>
    <row r="283" spans="1:8" s="15" customFormat="1" ht="27.95" customHeight="1" x14ac:dyDescent="0.2">
      <c r="A283" s="1" t="s">
        <v>1440</v>
      </c>
      <c r="B283" s="43" t="s">
        <v>1257</v>
      </c>
      <c r="C283" s="46" t="s">
        <v>17</v>
      </c>
      <c r="D283" s="44" t="s">
        <v>968</v>
      </c>
      <c r="E283" s="47" t="s">
        <v>1259</v>
      </c>
      <c r="F283" s="46" t="s">
        <v>963</v>
      </c>
      <c r="G283" s="35">
        <v>46900</v>
      </c>
      <c r="H283" s="40">
        <v>702341</v>
      </c>
    </row>
    <row r="284" spans="1:8" s="15" customFormat="1" ht="27.95" customHeight="1" x14ac:dyDescent="0.2">
      <c r="A284" s="1" t="s">
        <v>1440</v>
      </c>
      <c r="B284" s="43" t="s">
        <v>896</v>
      </c>
      <c r="C284" s="46" t="s">
        <v>903</v>
      </c>
      <c r="D284" s="44" t="s">
        <v>906</v>
      </c>
      <c r="E284" s="34">
        <v>4819</v>
      </c>
      <c r="F284" s="46" t="s">
        <v>912</v>
      </c>
      <c r="G284" s="35">
        <v>47600</v>
      </c>
      <c r="H284" s="40">
        <v>47600</v>
      </c>
    </row>
    <row r="285" spans="1:8" s="15" customFormat="1" ht="27.95" customHeight="1" x14ac:dyDescent="0.2">
      <c r="A285" s="1" t="s">
        <v>1440</v>
      </c>
      <c r="B285" s="43" t="s">
        <v>493</v>
      </c>
      <c r="C285" s="46" t="s">
        <v>72</v>
      </c>
      <c r="D285" s="44" t="s">
        <v>73</v>
      </c>
      <c r="E285" s="47">
        <v>4415</v>
      </c>
      <c r="F285" s="46" t="s">
        <v>518</v>
      </c>
      <c r="G285" s="35">
        <v>48000</v>
      </c>
      <c r="H285" s="40">
        <v>48000</v>
      </c>
    </row>
    <row r="286" spans="1:8" s="15" customFormat="1" ht="27.95" customHeight="1" x14ac:dyDescent="0.2">
      <c r="A286" s="1" t="s">
        <v>1440</v>
      </c>
      <c r="B286" s="43" t="s">
        <v>1325</v>
      </c>
      <c r="C286" s="46" t="s">
        <v>17</v>
      </c>
      <c r="D286" s="44" t="s">
        <v>1330</v>
      </c>
      <c r="E286" s="47">
        <v>5892</v>
      </c>
      <c r="F286" s="46" t="s">
        <v>1337</v>
      </c>
      <c r="G286" s="35">
        <v>48000</v>
      </c>
      <c r="H286" s="40">
        <v>48000</v>
      </c>
    </row>
    <row r="287" spans="1:8" s="15" customFormat="1" ht="27.95" customHeight="1" x14ac:dyDescent="0.2">
      <c r="A287" s="1" t="s">
        <v>1440</v>
      </c>
      <c r="B287" s="43" t="s">
        <v>1304</v>
      </c>
      <c r="C287" s="46" t="s">
        <v>19</v>
      </c>
      <c r="D287" s="44" t="s">
        <v>1305</v>
      </c>
      <c r="E287" s="47" t="s">
        <v>1401</v>
      </c>
      <c r="F287" s="46" t="s">
        <v>1315</v>
      </c>
      <c r="G287" s="35">
        <v>48750</v>
      </c>
      <c r="H287" s="40">
        <v>48750</v>
      </c>
    </row>
    <row r="288" spans="1:8" s="15" customFormat="1" ht="27.95" customHeight="1" x14ac:dyDescent="0.2">
      <c r="A288" s="1" t="s">
        <v>1440</v>
      </c>
      <c r="B288" s="43" t="s">
        <v>158</v>
      </c>
      <c r="C288" s="46" t="s">
        <v>75</v>
      </c>
      <c r="D288" s="44" t="s">
        <v>211</v>
      </c>
      <c r="E288" s="47">
        <v>3997</v>
      </c>
      <c r="F288" s="46" t="s">
        <v>186</v>
      </c>
      <c r="G288" s="35">
        <v>48810</v>
      </c>
      <c r="H288" s="40">
        <v>48810</v>
      </c>
    </row>
    <row r="289" spans="1:8" s="15" customFormat="1" ht="27.95" customHeight="1" x14ac:dyDescent="0.2">
      <c r="A289" s="1" t="s">
        <v>1440</v>
      </c>
      <c r="B289" s="43" t="s">
        <v>923</v>
      </c>
      <c r="C289" s="46" t="s">
        <v>39</v>
      </c>
      <c r="D289" s="44" t="s">
        <v>646</v>
      </c>
      <c r="E289" s="34">
        <v>5131</v>
      </c>
      <c r="F289" s="46" t="s">
        <v>934</v>
      </c>
      <c r="G289" s="35">
        <f>16332*3</f>
        <v>48996</v>
      </c>
      <c r="H289" s="40">
        <f>16332*3</f>
        <v>48996</v>
      </c>
    </row>
    <row r="290" spans="1:8" s="15" customFormat="1" ht="27.95" customHeight="1" x14ac:dyDescent="0.2">
      <c r="A290" s="1" t="s">
        <v>1440</v>
      </c>
      <c r="B290" s="43" t="s">
        <v>1049</v>
      </c>
      <c r="C290" s="46" t="s">
        <v>17</v>
      </c>
      <c r="D290" s="44" t="s">
        <v>1054</v>
      </c>
      <c r="E290" s="34">
        <v>5294</v>
      </c>
      <c r="F290" s="46" t="s">
        <v>1056</v>
      </c>
      <c r="G290" s="35">
        <f>16332*3</f>
        <v>48996</v>
      </c>
      <c r="H290" s="40">
        <f>16332*3</f>
        <v>48996</v>
      </c>
    </row>
    <row r="291" spans="1:8" s="15" customFormat="1" ht="27.95" customHeight="1" x14ac:dyDescent="0.2">
      <c r="A291" s="1" t="s">
        <v>1440</v>
      </c>
      <c r="B291" s="43" t="s">
        <v>229</v>
      </c>
      <c r="C291" s="46" t="s">
        <v>18</v>
      </c>
      <c r="D291" s="44" t="s">
        <v>97</v>
      </c>
      <c r="E291" s="34">
        <v>3465</v>
      </c>
      <c r="F291" s="46" t="s">
        <v>247</v>
      </c>
      <c r="G291" s="35">
        <v>49000</v>
      </c>
      <c r="H291" s="40">
        <v>50000</v>
      </c>
    </row>
    <row r="292" spans="1:8" s="15" customFormat="1" ht="27.95" customHeight="1" x14ac:dyDescent="0.2">
      <c r="A292" s="1" t="s">
        <v>1440</v>
      </c>
      <c r="B292" s="43" t="s">
        <v>902</v>
      </c>
      <c r="C292" s="46" t="s">
        <v>17</v>
      </c>
      <c r="D292" s="44" t="s">
        <v>285</v>
      </c>
      <c r="E292" s="34">
        <v>4943</v>
      </c>
      <c r="F292" s="46" t="s">
        <v>917</v>
      </c>
      <c r="G292" s="35">
        <v>49000</v>
      </c>
      <c r="H292" s="40">
        <v>49000</v>
      </c>
    </row>
    <row r="293" spans="1:8" s="15" customFormat="1" ht="27.95" customHeight="1" x14ac:dyDescent="0.2">
      <c r="A293" s="1" t="s">
        <v>1440</v>
      </c>
      <c r="B293" s="43" t="s">
        <v>984</v>
      </c>
      <c r="C293" s="46" t="s">
        <v>17</v>
      </c>
      <c r="D293" s="44" t="s">
        <v>85</v>
      </c>
      <c r="E293" s="34">
        <v>4942</v>
      </c>
      <c r="F293" s="46" t="s">
        <v>990</v>
      </c>
      <c r="G293" s="35">
        <v>49000</v>
      </c>
      <c r="H293" s="40">
        <v>49000</v>
      </c>
    </row>
    <row r="294" spans="1:8" s="15" customFormat="1" ht="27.95" customHeight="1" x14ac:dyDescent="0.2">
      <c r="A294" s="1" t="s">
        <v>1440</v>
      </c>
      <c r="B294" s="43" t="s">
        <v>1162</v>
      </c>
      <c r="C294" s="46" t="s">
        <v>1067</v>
      </c>
      <c r="D294" s="44" t="s">
        <v>1164</v>
      </c>
      <c r="E294" s="47" t="s">
        <v>1167</v>
      </c>
      <c r="F294" s="46" t="s">
        <v>1171</v>
      </c>
      <c r="G294" s="35">
        <v>49000</v>
      </c>
      <c r="H294" s="40">
        <v>49000</v>
      </c>
    </row>
    <row r="295" spans="1:8" s="15" customFormat="1" ht="27.95" customHeight="1" x14ac:dyDescent="0.2">
      <c r="A295" s="1" t="s">
        <v>1440</v>
      </c>
      <c r="B295" s="43" t="s">
        <v>1179</v>
      </c>
      <c r="C295" s="46" t="s">
        <v>39</v>
      </c>
      <c r="D295" s="44" t="s">
        <v>618</v>
      </c>
      <c r="E295" s="47" t="s">
        <v>1182</v>
      </c>
      <c r="F295" s="46" t="s">
        <v>1184</v>
      </c>
      <c r="G295" s="35">
        <v>49000</v>
      </c>
      <c r="H295" s="40">
        <v>50000</v>
      </c>
    </row>
    <row r="296" spans="1:8" s="15" customFormat="1" ht="27.95" customHeight="1" x14ac:dyDescent="0.2">
      <c r="A296" s="1" t="s">
        <v>1440</v>
      </c>
      <c r="B296" s="43" t="s">
        <v>1188</v>
      </c>
      <c r="C296" s="46" t="s">
        <v>76</v>
      </c>
      <c r="D296" s="44" t="s">
        <v>98</v>
      </c>
      <c r="E296" s="34">
        <v>5714</v>
      </c>
      <c r="F296" s="46" t="s">
        <v>1203</v>
      </c>
      <c r="G296" s="35">
        <v>49500</v>
      </c>
      <c r="H296" s="40">
        <v>49500</v>
      </c>
    </row>
    <row r="297" spans="1:8" s="15" customFormat="1" ht="27.95" customHeight="1" x14ac:dyDescent="0.2">
      <c r="A297" s="1" t="s">
        <v>1440</v>
      </c>
      <c r="B297" s="43" t="s">
        <v>1263</v>
      </c>
      <c r="C297" s="46" t="s">
        <v>39</v>
      </c>
      <c r="D297" s="44" t="s">
        <v>617</v>
      </c>
      <c r="E297" s="47">
        <v>5545</v>
      </c>
      <c r="F297" s="46" t="s">
        <v>1277</v>
      </c>
      <c r="G297" s="35">
        <v>49920</v>
      </c>
      <c r="H297" s="40">
        <v>49920</v>
      </c>
    </row>
    <row r="298" spans="1:8" s="15" customFormat="1" ht="27.95" customHeight="1" x14ac:dyDescent="0.2">
      <c r="A298" s="1" t="s">
        <v>1440</v>
      </c>
      <c r="B298" s="43" t="s">
        <v>1020</v>
      </c>
      <c r="C298" s="46" t="s">
        <v>80</v>
      </c>
      <c r="D298" s="44" t="s">
        <v>1025</v>
      </c>
      <c r="E298" s="47" t="s">
        <v>41</v>
      </c>
      <c r="F298" s="46" t="s">
        <v>1030</v>
      </c>
      <c r="G298" s="35">
        <v>49980</v>
      </c>
      <c r="H298" s="40">
        <v>49980</v>
      </c>
    </row>
    <row r="299" spans="1:8" s="15" customFormat="1" ht="27.95" customHeight="1" x14ac:dyDescent="0.2">
      <c r="A299" s="1" t="s">
        <v>1440</v>
      </c>
      <c r="B299" s="43" t="s">
        <v>261</v>
      </c>
      <c r="C299" s="46" t="s">
        <v>125</v>
      </c>
      <c r="D299" s="44" t="s">
        <v>81</v>
      </c>
      <c r="E299" s="47" t="s">
        <v>296</v>
      </c>
      <c r="F299" s="46" t="s">
        <v>277</v>
      </c>
      <c r="G299" s="35">
        <v>50000</v>
      </c>
      <c r="H299" s="40">
        <v>50000</v>
      </c>
    </row>
    <row r="300" spans="1:8" s="15" customFormat="1" ht="27.95" customHeight="1" x14ac:dyDescent="0.2">
      <c r="A300" s="1" t="s">
        <v>1440</v>
      </c>
      <c r="B300" s="43" t="s">
        <v>599</v>
      </c>
      <c r="C300" s="46" t="s">
        <v>80</v>
      </c>
      <c r="D300" s="44" t="s">
        <v>289</v>
      </c>
      <c r="E300" s="34">
        <v>4577</v>
      </c>
      <c r="F300" s="46" t="s">
        <v>662</v>
      </c>
      <c r="G300" s="35">
        <f>25000*2</f>
        <v>50000</v>
      </c>
      <c r="H300" s="40">
        <f>25000*2</f>
        <v>50000</v>
      </c>
    </row>
    <row r="301" spans="1:8" s="15" customFormat="1" ht="27.95" customHeight="1" x14ac:dyDescent="0.2">
      <c r="A301" s="1" t="s">
        <v>1440</v>
      </c>
      <c r="B301" s="43" t="s">
        <v>607</v>
      </c>
      <c r="C301" s="46" t="s">
        <v>39</v>
      </c>
      <c r="D301" s="44" t="s">
        <v>618</v>
      </c>
      <c r="E301" s="34">
        <v>4629</v>
      </c>
      <c r="F301" s="46" t="s">
        <v>627</v>
      </c>
      <c r="G301" s="35">
        <v>50000</v>
      </c>
      <c r="H301" s="40">
        <v>50000</v>
      </c>
    </row>
    <row r="302" spans="1:8" s="15" customFormat="1" ht="27.95" customHeight="1" x14ac:dyDescent="0.2">
      <c r="A302" s="1" t="s">
        <v>1440</v>
      </c>
      <c r="B302" s="43" t="s">
        <v>714</v>
      </c>
      <c r="C302" s="46" t="s">
        <v>18</v>
      </c>
      <c r="D302" s="44" t="s">
        <v>97</v>
      </c>
      <c r="E302" s="34">
        <v>4580</v>
      </c>
      <c r="F302" s="46" t="s">
        <v>723</v>
      </c>
      <c r="G302" s="35">
        <v>50000</v>
      </c>
      <c r="H302" s="40">
        <v>50000</v>
      </c>
    </row>
    <row r="303" spans="1:8" s="15" customFormat="1" ht="27.95" customHeight="1" x14ac:dyDescent="0.2">
      <c r="A303" s="1" t="s">
        <v>1440</v>
      </c>
      <c r="B303" s="43" t="s">
        <v>765</v>
      </c>
      <c r="C303" s="46" t="s">
        <v>39</v>
      </c>
      <c r="D303" s="44" t="s">
        <v>123</v>
      </c>
      <c r="E303" s="34">
        <v>4874</v>
      </c>
      <c r="F303" s="46" t="s">
        <v>779</v>
      </c>
      <c r="G303" s="35">
        <v>50000</v>
      </c>
      <c r="H303" s="40">
        <v>50000</v>
      </c>
    </row>
    <row r="304" spans="1:8" s="15" customFormat="1" ht="27.95" customHeight="1" x14ac:dyDescent="0.2">
      <c r="A304" s="1" t="s">
        <v>1440</v>
      </c>
      <c r="B304" s="43" t="s">
        <v>522</v>
      </c>
      <c r="C304" s="46" t="s">
        <v>50</v>
      </c>
      <c r="D304" s="44" t="s">
        <v>86</v>
      </c>
      <c r="E304" s="47">
        <v>4374</v>
      </c>
      <c r="F304" s="46" t="s">
        <v>529</v>
      </c>
      <c r="G304" s="35">
        <v>50211</v>
      </c>
      <c r="H304" s="40">
        <v>50211</v>
      </c>
    </row>
    <row r="305" spans="1:8" s="15" customFormat="1" ht="27.95" customHeight="1" x14ac:dyDescent="0.2">
      <c r="A305" s="1" t="s">
        <v>1440</v>
      </c>
      <c r="B305" s="43" t="s">
        <v>520</v>
      </c>
      <c r="C305" s="46" t="s">
        <v>39</v>
      </c>
      <c r="D305" s="44" t="s">
        <v>525</v>
      </c>
      <c r="E305" s="47">
        <v>4403</v>
      </c>
      <c r="F305" s="46" t="s">
        <v>527</v>
      </c>
      <c r="G305" s="35">
        <v>51984</v>
      </c>
      <c r="H305" s="40">
        <v>51984</v>
      </c>
    </row>
    <row r="306" spans="1:8" s="15" customFormat="1" ht="27.95" customHeight="1" x14ac:dyDescent="0.2">
      <c r="A306" s="1" t="s">
        <v>1440</v>
      </c>
      <c r="B306" s="43" t="s">
        <v>523</v>
      </c>
      <c r="C306" s="46" t="s">
        <v>50</v>
      </c>
      <c r="D306" s="44" t="s">
        <v>59</v>
      </c>
      <c r="E306" s="47">
        <v>4428</v>
      </c>
      <c r="F306" s="46" t="s">
        <v>530</v>
      </c>
      <c r="G306" s="35">
        <v>53375</v>
      </c>
      <c r="H306" s="40">
        <v>53375</v>
      </c>
    </row>
    <row r="307" spans="1:8" s="15" customFormat="1" ht="27.95" customHeight="1" x14ac:dyDescent="0.2">
      <c r="A307" s="1" t="s">
        <v>1440</v>
      </c>
      <c r="B307" s="43" t="s">
        <v>254</v>
      </c>
      <c r="C307" s="46" t="s">
        <v>46</v>
      </c>
      <c r="D307" s="44" t="s">
        <v>140</v>
      </c>
      <c r="E307" s="34">
        <v>3984</v>
      </c>
      <c r="F307" s="46" t="s">
        <v>270</v>
      </c>
      <c r="G307" s="35">
        <v>53500</v>
      </c>
      <c r="H307" s="40">
        <v>53500</v>
      </c>
    </row>
    <row r="308" spans="1:8" s="15" customFormat="1" ht="27.95" customHeight="1" x14ac:dyDescent="0.2">
      <c r="A308" s="1" t="s">
        <v>1440</v>
      </c>
      <c r="B308" s="43" t="s">
        <v>1106</v>
      </c>
      <c r="C308" s="46" t="s">
        <v>39</v>
      </c>
      <c r="D308" s="44" t="s">
        <v>230</v>
      </c>
      <c r="E308" s="34">
        <v>5497</v>
      </c>
      <c r="F308" s="46" t="s">
        <v>1121</v>
      </c>
      <c r="G308" s="40">
        <f>17864+18400+19000</f>
        <v>55264</v>
      </c>
      <c r="H308" s="40">
        <f>17864+18400+19000</f>
        <v>55264</v>
      </c>
    </row>
    <row r="309" spans="1:8" s="15" customFormat="1" ht="27.95" customHeight="1" x14ac:dyDescent="0.2">
      <c r="A309" s="1" t="s">
        <v>1440</v>
      </c>
      <c r="B309" s="43" t="s">
        <v>611</v>
      </c>
      <c r="C309" s="46" t="s">
        <v>17</v>
      </c>
      <c r="D309" s="44" t="s">
        <v>620</v>
      </c>
      <c r="E309" s="34">
        <v>4225</v>
      </c>
      <c r="F309" s="46" t="s">
        <v>630</v>
      </c>
      <c r="G309" s="35">
        <v>55296</v>
      </c>
      <c r="H309" s="40">
        <v>55296</v>
      </c>
    </row>
    <row r="310" spans="1:8" s="15" customFormat="1" ht="27.95" customHeight="1" x14ac:dyDescent="0.2">
      <c r="A310" s="1" t="s">
        <v>1440</v>
      </c>
      <c r="B310" s="43" t="s">
        <v>226</v>
      </c>
      <c r="C310" s="46" t="s">
        <v>39</v>
      </c>
      <c r="D310" s="44" t="s">
        <v>234</v>
      </c>
      <c r="E310" s="34">
        <v>4220</v>
      </c>
      <c r="F310" s="46" t="s">
        <v>244</v>
      </c>
      <c r="G310" s="35">
        <f>18529*3</f>
        <v>55587</v>
      </c>
      <c r="H310" s="40">
        <f>18529*3</f>
        <v>55587</v>
      </c>
    </row>
    <row r="311" spans="1:8" s="15" customFormat="1" ht="27.95" customHeight="1" x14ac:dyDescent="0.2">
      <c r="A311" s="1" t="s">
        <v>1440</v>
      </c>
      <c r="B311" s="43" t="s">
        <v>1062</v>
      </c>
      <c r="C311" s="46" t="s">
        <v>39</v>
      </c>
      <c r="D311" s="44" t="s">
        <v>230</v>
      </c>
      <c r="E311" s="34">
        <v>5346</v>
      </c>
      <c r="F311" s="46" t="s">
        <v>1075</v>
      </c>
      <c r="G311" s="35">
        <f>18785*3</f>
        <v>56355</v>
      </c>
      <c r="H311" s="40">
        <f>18785*3</f>
        <v>56355</v>
      </c>
    </row>
    <row r="312" spans="1:8" s="15" customFormat="1" ht="27.95" customHeight="1" x14ac:dyDescent="0.2">
      <c r="A312" s="1" t="s">
        <v>1440</v>
      </c>
      <c r="B312" s="43" t="s">
        <v>1061</v>
      </c>
      <c r="C312" s="46" t="s">
        <v>39</v>
      </c>
      <c r="D312" s="44" t="s">
        <v>230</v>
      </c>
      <c r="E312" s="34">
        <v>5345</v>
      </c>
      <c r="F312" s="46" t="s">
        <v>1074</v>
      </c>
      <c r="G312" s="35">
        <f>19147*3</f>
        <v>57441</v>
      </c>
      <c r="H312" s="40">
        <f>19147*3</f>
        <v>57441</v>
      </c>
    </row>
    <row r="313" spans="1:8" s="15" customFormat="1" ht="27.95" customHeight="1" x14ac:dyDescent="0.2">
      <c r="A313" s="1" t="s">
        <v>1440</v>
      </c>
      <c r="B313" s="43" t="s">
        <v>150</v>
      </c>
      <c r="C313" s="46" t="s">
        <v>40</v>
      </c>
      <c r="D313" s="44" t="s">
        <v>207</v>
      </c>
      <c r="E313" s="47">
        <v>3893</v>
      </c>
      <c r="F313" s="46" t="s">
        <v>178</v>
      </c>
      <c r="G313" s="35">
        <f>20000*3</f>
        <v>60000</v>
      </c>
      <c r="H313" s="40">
        <f>20000*3</f>
        <v>60000</v>
      </c>
    </row>
    <row r="314" spans="1:8" s="15" customFormat="1" ht="27.95" customHeight="1" x14ac:dyDescent="0.2">
      <c r="A314" s="1" t="s">
        <v>1440</v>
      </c>
      <c r="B314" s="43" t="s">
        <v>172</v>
      </c>
      <c r="C314" s="46" t="s">
        <v>20</v>
      </c>
      <c r="D314" s="44" t="s">
        <v>216</v>
      </c>
      <c r="E314" s="34">
        <v>4164</v>
      </c>
      <c r="F314" s="46" t="s">
        <v>200</v>
      </c>
      <c r="G314" s="35">
        <f>20000*3</f>
        <v>60000</v>
      </c>
      <c r="H314" s="40">
        <f>20000*3</f>
        <v>60000</v>
      </c>
    </row>
    <row r="315" spans="1:8" s="15" customFormat="1" ht="27.95" customHeight="1" x14ac:dyDescent="0.2">
      <c r="A315" s="1" t="s">
        <v>1440</v>
      </c>
      <c r="B315" s="43" t="s">
        <v>259</v>
      </c>
      <c r="C315" s="46" t="s">
        <v>281</v>
      </c>
      <c r="D315" s="44" t="s">
        <v>290</v>
      </c>
      <c r="E315" s="34">
        <v>4161</v>
      </c>
      <c r="F315" s="46" t="s">
        <v>275</v>
      </c>
      <c r="G315" s="35">
        <v>60000</v>
      </c>
      <c r="H315" s="40">
        <v>60000</v>
      </c>
    </row>
    <row r="316" spans="1:8" s="15" customFormat="1" ht="27.95" customHeight="1" x14ac:dyDescent="0.2">
      <c r="A316" s="1" t="s">
        <v>1440</v>
      </c>
      <c r="B316" s="43" t="s">
        <v>388</v>
      </c>
      <c r="C316" s="46" t="s">
        <v>40</v>
      </c>
      <c r="D316" s="44" t="s">
        <v>55</v>
      </c>
      <c r="E316" s="34">
        <v>4135</v>
      </c>
      <c r="F316" s="46" t="s">
        <v>421</v>
      </c>
      <c r="G316" s="35">
        <f>20000*3</f>
        <v>60000</v>
      </c>
      <c r="H316" s="40">
        <f>20000*3</f>
        <v>60000</v>
      </c>
    </row>
    <row r="317" spans="1:8" s="15" customFormat="1" ht="27.95" customHeight="1" x14ac:dyDescent="0.2">
      <c r="A317" s="1" t="s">
        <v>1440</v>
      </c>
      <c r="B317" s="43" t="s">
        <v>391</v>
      </c>
      <c r="C317" s="46" t="s">
        <v>39</v>
      </c>
      <c r="D317" s="44" t="s">
        <v>406</v>
      </c>
      <c r="E317" s="34">
        <v>4302</v>
      </c>
      <c r="F317" s="46" t="s">
        <v>422</v>
      </c>
      <c r="G317" s="35">
        <f>20000*3</f>
        <v>60000</v>
      </c>
      <c r="H317" s="40">
        <f>20000*3</f>
        <v>60000</v>
      </c>
    </row>
    <row r="318" spans="1:8" s="15" customFormat="1" ht="27.95" customHeight="1" x14ac:dyDescent="0.2">
      <c r="A318" s="1" t="s">
        <v>1440</v>
      </c>
      <c r="B318" s="43" t="s">
        <v>392</v>
      </c>
      <c r="C318" s="46" t="s">
        <v>92</v>
      </c>
      <c r="D318" s="44" t="s">
        <v>407</v>
      </c>
      <c r="E318" s="34">
        <v>3936</v>
      </c>
      <c r="F318" s="46" t="s">
        <v>423</v>
      </c>
      <c r="G318" s="35">
        <f>20000*3</f>
        <v>60000</v>
      </c>
      <c r="H318" s="40">
        <f>20000*3</f>
        <v>60000</v>
      </c>
    </row>
    <row r="319" spans="1:8" s="15" customFormat="1" ht="27.95" customHeight="1" x14ac:dyDescent="0.2">
      <c r="A319" s="1" t="s">
        <v>1440</v>
      </c>
      <c r="B319" s="43" t="s">
        <v>393</v>
      </c>
      <c r="C319" s="46" t="s">
        <v>92</v>
      </c>
      <c r="D319" s="44" t="s">
        <v>408</v>
      </c>
      <c r="E319" s="34">
        <v>3950</v>
      </c>
      <c r="F319" s="46" t="s">
        <v>424</v>
      </c>
      <c r="G319" s="35">
        <f>20000*3</f>
        <v>60000</v>
      </c>
      <c r="H319" s="40">
        <f>20000*3</f>
        <v>60000</v>
      </c>
    </row>
    <row r="320" spans="1:8" s="15" customFormat="1" ht="27.95" customHeight="1" x14ac:dyDescent="0.2">
      <c r="A320" s="1" t="s">
        <v>1440</v>
      </c>
      <c r="B320" s="43" t="s">
        <v>397</v>
      </c>
      <c r="C320" s="46" t="s">
        <v>92</v>
      </c>
      <c r="D320" s="44" t="s">
        <v>412</v>
      </c>
      <c r="E320" s="34">
        <v>3954</v>
      </c>
      <c r="F320" s="46" t="s">
        <v>428</v>
      </c>
      <c r="G320" s="35">
        <f>20000*3</f>
        <v>60000</v>
      </c>
      <c r="H320" s="40">
        <f>20000*3</f>
        <v>60000</v>
      </c>
    </row>
    <row r="321" spans="1:8" s="15" customFormat="1" ht="27.95" customHeight="1" x14ac:dyDescent="0.2">
      <c r="A321" s="1" t="s">
        <v>1440</v>
      </c>
      <c r="B321" s="43" t="s">
        <v>543</v>
      </c>
      <c r="C321" s="46" t="s">
        <v>551</v>
      </c>
      <c r="D321" s="44" t="s">
        <v>557</v>
      </c>
      <c r="E321" s="47">
        <v>4171</v>
      </c>
      <c r="F321" s="46" t="s">
        <v>573</v>
      </c>
      <c r="G321" s="35">
        <f>20000*3</f>
        <v>60000</v>
      </c>
      <c r="H321" s="40">
        <f>20000*3</f>
        <v>60000</v>
      </c>
    </row>
    <row r="322" spans="1:8" s="15" customFormat="1" ht="27.95" customHeight="1" x14ac:dyDescent="0.2">
      <c r="A322" s="1" t="s">
        <v>1440</v>
      </c>
      <c r="B322" s="43" t="s">
        <v>587</v>
      </c>
      <c r="C322" s="46" t="s">
        <v>46</v>
      </c>
      <c r="D322" s="44" t="s">
        <v>596</v>
      </c>
      <c r="E322" s="34">
        <v>4453</v>
      </c>
      <c r="F322" s="46" t="s">
        <v>591</v>
      </c>
      <c r="G322" s="35">
        <f>20000*3</f>
        <v>60000</v>
      </c>
      <c r="H322" s="40">
        <f>20000*3</f>
        <v>60000</v>
      </c>
    </row>
    <row r="323" spans="1:8" s="15" customFormat="1" ht="27.95" customHeight="1" x14ac:dyDescent="0.2">
      <c r="A323" s="1" t="s">
        <v>1440</v>
      </c>
      <c r="B323" s="43" t="s">
        <v>805</v>
      </c>
      <c r="C323" s="46" t="s">
        <v>825</v>
      </c>
      <c r="D323" s="44" t="s">
        <v>829</v>
      </c>
      <c r="E323" s="34">
        <v>4076</v>
      </c>
      <c r="F323" s="46" t="s">
        <v>851</v>
      </c>
      <c r="G323" s="35">
        <f>20000*3</f>
        <v>60000</v>
      </c>
      <c r="H323" s="40">
        <f>20000*3</f>
        <v>60000</v>
      </c>
    </row>
    <row r="324" spans="1:8" s="15" customFormat="1" ht="27.95" customHeight="1" x14ac:dyDescent="0.2">
      <c r="A324" s="1" t="s">
        <v>1440</v>
      </c>
      <c r="B324" s="43" t="s">
        <v>816</v>
      </c>
      <c r="C324" s="46" t="s">
        <v>825</v>
      </c>
      <c r="D324" s="44" t="s">
        <v>840</v>
      </c>
      <c r="E324" s="34">
        <v>4463</v>
      </c>
      <c r="F324" s="46" t="s">
        <v>867</v>
      </c>
      <c r="G324" s="35">
        <f>20000*3</f>
        <v>60000</v>
      </c>
      <c r="H324" s="40">
        <f>20000*3</f>
        <v>60000</v>
      </c>
    </row>
    <row r="325" spans="1:8" s="15" customFormat="1" ht="27.95" customHeight="1" x14ac:dyDescent="0.2">
      <c r="A325" s="1" t="s">
        <v>1440</v>
      </c>
      <c r="B325" s="43" t="s">
        <v>818</v>
      </c>
      <c r="C325" s="46" t="s">
        <v>825</v>
      </c>
      <c r="D325" s="44" t="s">
        <v>842</v>
      </c>
      <c r="E325" s="34">
        <v>4465</v>
      </c>
      <c r="F325" s="46" t="s">
        <v>866</v>
      </c>
      <c r="G325" s="35">
        <f>20000*3</f>
        <v>60000</v>
      </c>
      <c r="H325" s="40">
        <f>20000*3</f>
        <v>60000</v>
      </c>
    </row>
    <row r="326" spans="1:8" s="15" customFormat="1" ht="27.95" customHeight="1" x14ac:dyDescent="0.2">
      <c r="A326" s="1" t="s">
        <v>1440</v>
      </c>
      <c r="B326" s="43" t="s">
        <v>823</v>
      </c>
      <c r="C326" s="46" t="s">
        <v>825</v>
      </c>
      <c r="D326" s="44" t="s">
        <v>846</v>
      </c>
      <c r="E326" s="34">
        <v>4946</v>
      </c>
      <c r="F326" s="46" t="s">
        <v>863</v>
      </c>
      <c r="G326" s="35">
        <f>20000*3</f>
        <v>60000</v>
      </c>
      <c r="H326" s="40">
        <f>20000*3</f>
        <v>60000</v>
      </c>
    </row>
    <row r="327" spans="1:8" s="15" customFormat="1" ht="27.95" customHeight="1" x14ac:dyDescent="0.2">
      <c r="A327" s="1" t="s">
        <v>1440</v>
      </c>
      <c r="B327" s="43" t="s">
        <v>939</v>
      </c>
      <c r="C327" s="46" t="s">
        <v>80</v>
      </c>
      <c r="D327" s="44" t="s">
        <v>946</v>
      </c>
      <c r="E327" s="34">
        <v>4571</v>
      </c>
      <c r="F327" s="46" t="s">
        <v>952</v>
      </c>
      <c r="G327" s="35">
        <v>60000</v>
      </c>
      <c r="H327" s="40">
        <v>60000</v>
      </c>
    </row>
    <row r="328" spans="1:8" s="15" customFormat="1" ht="27.95" customHeight="1" x14ac:dyDescent="0.2">
      <c r="A328" s="1" t="s">
        <v>1440</v>
      </c>
      <c r="B328" s="43" t="s">
        <v>1048</v>
      </c>
      <c r="C328" s="46" t="s">
        <v>20</v>
      </c>
      <c r="D328" s="44" t="s">
        <v>1053</v>
      </c>
      <c r="E328" s="34">
        <v>5185</v>
      </c>
      <c r="F328" s="46" t="s">
        <v>200</v>
      </c>
      <c r="G328" s="35">
        <f>20000*3</f>
        <v>60000</v>
      </c>
      <c r="H328" s="40">
        <f>20000</f>
        <v>20000</v>
      </c>
    </row>
    <row r="329" spans="1:8" s="15" customFormat="1" ht="27.95" customHeight="1" x14ac:dyDescent="0.2">
      <c r="A329" s="1" t="s">
        <v>1440</v>
      </c>
      <c r="B329" s="43" t="s">
        <v>1107</v>
      </c>
      <c r="C329" s="46" t="s">
        <v>40</v>
      </c>
      <c r="D329" s="44" t="s">
        <v>207</v>
      </c>
      <c r="E329" s="47" t="s">
        <v>1115</v>
      </c>
      <c r="F329" s="46" t="s">
        <v>1122</v>
      </c>
      <c r="G329" s="35">
        <f>20000+20000+20000</f>
        <v>60000</v>
      </c>
      <c r="H329" s="40">
        <v>20000</v>
      </c>
    </row>
    <row r="330" spans="1:8" s="15" customFormat="1" ht="27.95" customHeight="1" x14ac:dyDescent="0.2">
      <c r="A330" s="1" t="s">
        <v>1440</v>
      </c>
      <c r="B330" s="43" t="s">
        <v>1149</v>
      </c>
      <c r="C330" s="46" t="s">
        <v>1067</v>
      </c>
      <c r="D330" s="44" t="s">
        <v>1153</v>
      </c>
      <c r="E330" s="34">
        <v>5584</v>
      </c>
      <c r="F330" s="46" t="s">
        <v>1157</v>
      </c>
      <c r="G330" s="35">
        <v>60000</v>
      </c>
      <c r="H330" s="40">
        <v>60000</v>
      </c>
    </row>
    <row r="331" spans="1:8" s="15" customFormat="1" ht="27.95" customHeight="1" x14ac:dyDescent="0.2">
      <c r="A331" s="1" t="s">
        <v>1440</v>
      </c>
      <c r="B331" s="43" t="s">
        <v>1338</v>
      </c>
      <c r="C331" s="46" t="s">
        <v>46</v>
      </c>
      <c r="D331" s="44" t="s">
        <v>1341</v>
      </c>
      <c r="E331" s="47" t="s">
        <v>1342</v>
      </c>
      <c r="F331" s="46" t="s">
        <v>512</v>
      </c>
      <c r="G331" s="35">
        <f>20000*3</f>
        <v>60000</v>
      </c>
      <c r="H331" s="40">
        <v>49000</v>
      </c>
    </row>
    <row r="332" spans="1:8" s="15" customFormat="1" ht="27.95" customHeight="1" x14ac:dyDescent="0.2">
      <c r="A332" s="1" t="s">
        <v>1440</v>
      </c>
      <c r="B332" s="43" t="s">
        <v>1428</v>
      </c>
      <c r="C332" s="46" t="s">
        <v>46</v>
      </c>
      <c r="D332" s="44" t="s">
        <v>1430</v>
      </c>
      <c r="E332" s="47" t="s">
        <v>41</v>
      </c>
      <c r="F332" s="46" t="s">
        <v>1432</v>
      </c>
      <c r="G332" s="35">
        <v>60000</v>
      </c>
      <c r="H332" s="40">
        <v>60000</v>
      </c>
    </row>
    <row r="333" spans="1:8" s="15" customFormat="1" ht="27.95" customHeight="1" x14ac:dyDescent="0.2">
      <c r="A333" s="1" t="s">
        <v>1440</v>
      </c>
      <c r="B333" s="43" t="s">
        <v>167</v>
      </c>
      <c r="C333" s="46" t="s">
        <v>21</v>
      </c>
      <c r="D333" s="44" t="s">
        <v>90</v>
      </c>
      <c r="E333" s="34">
        <v>4150</v>
      </c>
      <c r="F333" s="46" t="s">
        <v>195</v>
      </c>
      <c r="G333" s="35">
        <f>31294*2</f>
        <v>62588</v>
      </c>
      <c r="H333" s="40">
        <f>31294+31294</f>
        <v>62588</v>
      </c>
    </row>
    <row r="334" spans="1:8" s="15" customFormat="1" ht="27.95" customHeight="1" x14ac:dyDescent="0.2">
      <c r="A334" s="1" t="s">
        <v>1440</v>
      </c>
      <c r="B334" s="43" t="s">
        <v>716</v>
      </c>
      <c r="C334" s="46" t="s">
        <v>65</v>
      </c>
      <c r="D334" s="44" t="s">
        <v>729</v>
      </c>
      <c r="E334" s="34">
        <v>4792</v>
      </c>
      <c r="F334" s="46" t="s">
        <v>725</v>
      </c>
      <c r="G334" s="35">
        <v>62910</v>
      </c>
      <c r="H334" s="40">
        <v>62910</v>
      </c>
    </row>
    <row r="335" spans="1:8" s="15" customFormat="1" ht="27.95" customHeight="1" x14ac:dyDescent="0.2">
      <c r="A335" s="1" t="s">
        <v>1440</v>
      </c>
      <c r="B335" s="43" t="s">
        <v>404</v>
      </c>
      <c r="C335" s="46" t="s">
        <v>18</v>
      </c>
      <c r="D335" s="44" t="s">
        <v>417</v>
      </c>
      <c r="E335" s="34">
        <v>3988</v>
      </c>
      <c r="F335" s="46" t="s">
        <v>435</v>
      </c>
      <c r="G335" s="35">
        <f>21000*3</f>
        <v>63000</v>
      </c>
      <c r="H335" s="40">
        <f>21000*3</f>
        <v>63000</v>
      </c>
    </row>
    <row r="336" spans="1:8" s="15" customFormat="1" ht="27.95" customHeight="1" x14ac:dyDescent="0.2">
      <c r="A336" s="1" t="s">
        <v>1440</v>
      </c>
      <c r="B336" s="43" t="s">
        <v>1088</v>
      </c>
      <c r="C336" s="46" t="s">
        <v>1091</v>
      </c>
      <c r="D336" s="44" t="s">
        <v>1095</v>
      </c>
      <c r="E336" s="34">
        <v>5411</v>
      </c>
      <c r="F336" s="46" t="s">
        <v>1098</v>
      </c>
      <c r="G336" s="35">
        <f>21745*3</f>
        <v>65235</v>
      </c>
      <c r="H336" s="40">
        <f>21745*3</f>
        <v>65235</v>
      </c>
    </row>
    <row r="337" spans="1:8" s="15" customFormat="1" ht="27.95" customHeight="1" x14ac:dyDescent="0.2">
      <c r="A337" s="1" t="s">
        <v>1440</v>
      </c>
      <c r="B337" s="43" t="s">
        <v>683</v>
      </c>
      <c r="C337" s="46" t="s">
        <v>75</v>
      </c>
      <c r="D337" s="44" t="s">
        <v>688</v>
      </c>
      <c r="E337" s="34">
        <v>4679</v>
      </c>
      <c r="F337" s="46" t="s">
        <v>684</v>
      </c>
      <c r="G337" s="35">
        <v>65384</v>
      </c>
      <c r="H337" s="40">
        <v>65384</v>
      </c>
    </row>
    <row r="338" spans="1:8" s="15" customFormat="1" ht="27.95" customHeight="1" x14ac:dyDescent="0.2">
      <c r="A338" s="1" t="s">
        <v>1440</v>
      </c>
      <c r="B338" s="43" t="s">
        <v>538</v>
      </c>
      <c r="C338" s="46" t="s">
        <v>551</v>
      </c>
      <c r="D338" s="44" t="s">
        <v>553</v>
      </c>
      <c r="E338" s="47">
        <v>4185</v>
      </c>
      <c r="F338" s="46" t="s">
        <v>569</v>
      </c>
      <c r="G338" s="35">
        <f>22000*3</f>
        <v>66000</v>
      </c>
      <c r="H338" s="40">
        <f>22000*3</f>
        <v>66000</v>
      </c>
    </row>
    <row r="339" spans="1:8" s="15" customFormat="1" ht="27.95" customHeight="1" x14ac:dyDescent="0.2">
      <c r="A339" s="1" t="s">
        <v>1440</v>
      </c>
      <c r="B339" s="43" t="s">
        <v>982</v>
      </c>
      <c r="C339" s="46" t="s">
        <v>20</v>
      </c>
      <c r="D339" s="44" t="s">
        <v>103</v>
      </c>
      <c r="E339" s="34">
        <v>5062</v>
      </c>
      <c r="F339" s="46" t="s">
        <v>563</v>
      </c>
      <c r="G339" s="35">
        <f>22000*3</f>
        <v>66000</v>
      </c>
      <c r="H339" s="40">
        <v>25000</v>
      </c>
    </row>
    <row r="340" spans="1:8" s="15" customFormat="1" ht="27.95" customHeight="1" x14ac:dyDescent="0.2">
      <c r="A340" s="1" t="s">
        <v>1440</v>
      </c>
      <c r="B340" s="43" t="s">
        <v>590</v>
      </c>
      <c r="C340" s="46" t="s">
        <v>46</v>
      </c>
      <c r="D340" s="44" t="s">
        <v>71</v>
      </c>
      <c r="E340" s="34">
        <v>4501</v>
      </c>
      <c r="F340" s="46" t="s">
        <v>594</v>
      </c>
      <c r="G340" s="35">
        <f>22330*3</f>
        <v>66990</v>
      </c>
      <c r="H340" s="40">
        <f>22330*3</f>
        <v>66990</v>
      </c>
    </row>
    <row r="341" spans="1:8" s="15" customFormat="1" ht="27.95" customHeight="1" x14ac:dyDescent="0.2">
      <c r="A341" s="1" t="s">
        <v>1440</v>
      </c>
      <c r="B341" s="43" t="s">
        <v>1104</v>
      </c>
      <c r="C341" s="46" t="s">
        <v>76</v>
      </c>
      <c r="D341" s="44" t="s">
        <v>1112</v>
      </c>
      <c r="E341" s="34">
        <v>5470</v>
      </c>
      <c r="F341" s="46" t="s">
        <v>1119</v>
      </c>
      <c r="G341" s="35">
        <f>22500*3</f>
        <v>67500</v>
      </c>
      <c r="H341" s="40">
        <f>22500*3</f>
        <v>67500</v>
      </c>
    </row>
    <row r="342" spans="1:8" s="15" customFormat="1" ht="27.95" customHeight="1" x14ac:dyDescent="0.2">
      <c r="A342" s="1" t="s">
        <v>1440</v>
      </c>
      <c r="B342" s="43" t="s">
        <v>1360</v>
      </c>
      <c r="C342" s="46" t="s">
        <v>39</v>
      </c>
      <c r="D342" s="44" t="s">
        <v>1039</v>
      </c>
      <c r="E342" s="34">
        <v>6194</v>
      </c>
      <c r="F342" s="46" t="s">
        <v>1363</v>
      </c>
      <c r="G342" s="35">
        <f>22969*3</f>
        <v>68907</v>
      </c>
      <c r="H342" s="40">
        <f>22969*3</f>
        <v>68907</v>
      </c>
    </row>
    <row r="343" spans="1:8" s="15" customFormat="1" ht="27.95" customHeight="1" x14ac:dyDescent="0.2">
      <c r="A343" s="1" t="s">
        <v>1440</v>
      </c>
      <c r="B343" s="43" t="s">
        <v>893</v>
      </c>
      <c r="C343" s="46" t="s">
        <v>20</v>
      </c>
      <c r="D343" s="44" t="s">
        <v>904</v>
      </c>
      <c r="E343" s="34">
        <v>5040</v>
      </c>
      <c r="F343" s="46" t="s">
        <v>909</v>
      </c>
      <c r="G343" s="35">
        <f>23000*3</f>
        <v>69000</v>
      </c>
      <c r="H343" s="40">
        <f>23000*3</f>
        <v>69000</v>
      </c>
    </row>
    <row r="344" spans="1:8" s="15" customFormat="1" ht="27.95" customHeight="1" x14ac:dyDescent="0.2">
      <c r="A344" s="1" t="s">
        <v>1440</v>
      </c>
      <c r="B344" s="43" t="s">
        <v>941</v>
      </c>
      <c r="C344" s="46" t="s">
        <v>39</v>
      </c>
      <c r="D344" s="44" t="s">
        <v>948</v>
      </c>
      <c r="E344" s="34">
        <v>5153</v>
      </c>
      <c r="F344" s="46" t="s">
        <v>954</v>
      </c>
      <c r="G344" s="35">
        <v>69600</v>
      </c>
      <c r="H344" s="40">
        <v>69600</v>
      </c>
    </row>
    <row r="345" spans="1:8" s="15" customFormat="1" ht="27.95" customHeight="1" x14ac:dyDescent="0.2">
      <c r="A345" s="1" t="s">
        <v>1440</v>
      </c>
      <c r="B345" s="43" t="s">
        <v>448</v>
      </c>
      <c r="C345" s="46" t="s">
        <v>48</v>
      </c>
      <c r="D345" s="44" t="s">
        <v>460</v>
      </c>
      <c r="E345" s="47">
        <v>4297</v>
      </c>
      <c r="F345" s="46" t="s">
        <v>474</v>
      </c>
      <c r="G345" s="35">
        <f>24000*3</f>
        <v>72000</v>
      </c>
      <c r="H345" s="40">
        <f>24000*3</f>
        <v>72000</v>
      </c>
    </row>
    <row r="346" spans="1:8" s="15" customFormat="1" ht="27.95" customHeight="1" x14ac:dyDescent="0.2">
      <c r="A346" s="1" t="s">
        <v>1440</v>
      </c>
      <c r="B346" s="43" t="s">
        <v>545</v>
      </c>
      <c r="C346" s="46" t="s">
        <v>45</v>
      </c>
      <c r="D346" s="44" t="s">
        <v>559</v>
      </c>
      <c r="E346" s="47">
        <v>3656</v>
      </c>
      <c r="F346" s="46" t="s">
        <v>575</v>
      </c>
      <c r="G346" s="35">
        <f>24100*3</f>
        <v>72300</v>
      </c>
      <c r="H346" s="40">
        <f>24100*3</f>
        <v>72300</v>
      </c>
    </row>
    <row r="347" spans="1:8" s="15" customFormat="1" ht="27.95" customHeight="1" x14ac:dyDescent="0.2">
      <c r="A347" s="1" t="s">
        <v>1440</v>
      </c>
      <c r="B347" s="43" t="s">
        <v>775</v>
      </c>
      <c r="C347" s="46" t="s">
        <v>790</v>
      </c>
      <c r="D347" s="44" t="s">
        <v>800</v>
      </c>
      <c r="E347" s="34">
        <v>4878</v>
      </c>
      <c r="F347" s="46" t="s">
        <v>787</v>
      </c>
      <c r="G347" s="35">
        <v>73960</v>
      </c>
      <c r="H347" s="40">
        <v>73960</v>
      </c>
    </row>
    <row r="348" spans="1:8" s="15" customFormat="1" ht="27.95" customHeight="1" x14ac:dyDescent="0.2">
      <c r="A348" s="1" t="s">
        <v>1440</v>
      </c>
      <c r="B348" s="43" t="s">
        <v>1409</v>
      </c>
      <c r="C348" s="46" t="s">
        <v>50</v>
      </c>
      <c r="D348" s="44" t="s">
        <v>59</v>
      </c>
      <c r="E348" s="34">
        <v>6353</v>
      </c>
      <c r="F348" s="46" t="s">
        <v>1414</v>
      </c>
      <c r="G348" s="35">
        <v>74400</v>
      </c>
      <c r="H348" s="40">
        <v>74400</v>
      </c>
    </row>
    <row r="349" spans="1:8" s="15" customFormat="1" ht="27.95" customHeight="1" x14ac:dyDescent="0.2">
      <c r="A349" s="1" t="s">
        <v>1440</v>
      </c>
      <c r="B349" s="43" t="s">
        <v>225</v>
      </c>
      <c r="C349" s="46" t="s">
        <v>20</v>
      </c>
      <c r="D349" s="44" t="s">
        <v>681</v>
      </c>
      <c r="E349" s="34">
        <v>4232</v>
      </c>
      <c r="F349" s="46" t="s">
        <v>243</v>
      </c>
      <c r="G349" s="35">
        <f>37400*2</f>
        <v>74800</v>
      </c>
      <c r="H349" s="40">
        <f>37400*2</f>
        <v>74800</v>
      </c>
    </row>
    <row r="350" spans="1:8" s="15" customFormat="1" ht="27.95" customHeight="1" x14ac:dyDescent="0.2">
      <c r="A350" s="1" t="s">
        <v>1440</v>
      </c>
      <c r="B350" s="43" t="s">
        <v>873</v>
      </c>
      <c r="C350" s="46" t="s">
        <v>39</v>
      </c>
      <c r="D350" s="44" t="s">
        <v>880</v>
      </c>
      <c r="E350" s="34">
        <v>5030</v>
      </c>
      <c r="F350" s="46" t="s">
        <v>876</v>
      </c>
      <c r="G350" s="35">
        <f>24960*3</f>
        <v>74880</v>
      </c>
      <c r="H350" s="40">
        <f>24960*3</f>
        <v>74880</v>
      </c>
    </row>
    <row r="351" spans="1:8" s="15" customFormat="1" ht="27.95" customHeight="1" x14ac:dyDescent="0.2">
      <c r="A351" s="1" t="s">
        <v>1440</v>
      </c>
      <c r="B351" s="43" t="s">
        <v>154</v>
      </c>
      <c r="C351" s="46" t="s">
        <v>17</v>
      </c>
      <c r="D351" s="44" t="s">
        <v>93</v>
      </c>
      <c r="E351" s="47">
        <v>3940</v>
      </c>
      <c r="F351" s="46" t="s">
        <v>182</v>
      </c>
      <c r="G351" s="35">
        <f>25000*3</f>
        <v>75000</v>
      </c>
      <c r="H351" s="40">
        <f>25000*3</f>
        <v>75000</v>
      </c>
    </row>
    <row r="352" spans="1:8" s="15" customFormat="1" ht="27.95" customHeight="1" x14ac:dyDescent="0.2">
      <c r="A352" s="1" t="s">
        <v>1440</v>
      </c>
      <c r="B352" s="43" t="s">
        <v>263</v>
      </c>
      <c r="C352" s="46" t="s">
        <v>49</v>
      </c>
      <c r="D352" s="44" t="s">
        <v>111</v>
      </c>
      <c r="E352" s="47">
        <v>4257</v>
      </c>
      <c r="F352" s="46" t="s">
        <v>109</v>
      </c>
      <c r="G352" s="35">
        <v>75000</v>
      </c>
      <c r="H352" s="40">
        <v>75000</v>
      </c>
    </row>
    <row r="353" spans="1:8" s="15" customFormat="1" ht="27.95" customHeight="1" x14ac:dyDescent="0.2">
      <c r="A353" s="1" t="s">
        <v>1440</v>
      </c>
      <c r="B353" s="43" t="s">
        <v>395</v>
      </c>
      <c r="C353" s="46" t="s">
        <v>92</v>
      </c>
      <c r="D353" s="44" t="s">
        <v>410</v>
      </c>
      <c r="E353" s="34">
        <v>3974</v>
      </c>
      <c r="F353" s="46" t="s">
        <v>426</v>
      </c>
      <c r="G353" s="35">
        <f>25000*3</f>
        <v>75000</v>
      </c>
      <c r="H353" s="40">
        <f>25000*3</f>
        <v>75000</v>
      </c>
    </row>
    <row r="354" spans="1:8" s="15" customFormat="1" ht="27.95" customHeight="1" x14ac:dyDescent="0.2">
      <c r="A354" s="1" t="s">
        <v>1440</v>
      </c>
      <c r="B354" s="43" t="s">
        <v>401</v>
      </c>
      <c r="C354" s="46" t="s">
        <v>92</v>
      </c>
      <c r="D354" s="44" t="s">
        <v>415</v>
      </c>
      <c r="E354" s="34">
        <v>3934</v>
      </c>
      <c r="F354" s="46" t="s">
        <v>432</v>
      </c>
      <c r="G354" s="35">
        <f>25000*3</f>
        <v>75000</v>
      </c>
      <c r="H354" s="40">
        <f>25000*3</f>
        <v>75000</v>
      </c>
    </row>
    <row r="355" spans="1:8" s="15" customFormat="1" ht="27.95" customHeight="1" x14ac:dyDescent="0.2">
      <c r="A355" s="1" t="s">
        <v>1440</v>
      </c>
      <c r="B355" s="43" t="s">
        <v>488</v>
      </c>
      <c r="C355" s="46" t="s">
        <v>46</v>
      </c>
      <c r="D355" s="44" t="s">
        <v>499</v>
      </c>
      <c r="E355" s="47">
        <v>4405</v>
      </c>
      <c r="F355" s="46" t="s">
        <v>514</v>
      </c>
      <c r="G355" s="35">
        <f>25000*3</f>
        <v>75000</v>
      </c>
      <c r="H355" s="40">
        <f>25000*3</f>
        <v>75000</v>
      </c>
    </row>
    <row r="356" spans="1:8" s="15" customFormat="1" ht="27.95" customHeight="1" x14ac:dyDescent="0.2">
      <c r="A356" s="1" t="s">
        <v>1440</v>
      </c>
      <c r="B356" s="43" t="s">
        <v>532</v>
      </c>
      <c r="C356" s="46" t="s">
        <v>20</v>
      </c>
      <c r="D356" s="44" t="s">
        <v>103</v>
      </c>
      <c r="E356" s="47">
        <v>4461</v>
      </c>
      <c r="F356" s="46" t="s">
        <v>563</v>
      </c>
      <c r="G356" s="35">
        <f>25000*3</f>
        <v>75000</v>
      </c>
      <c r="H356" s="40">
        <f>25000*3</f>
        <v>75000</v>
      </c>
    </row>
    <row r="357" spans="1:8" s="15" customFormat="1" ht="27.95" customHeight="1" x14ac:dyDescent="0.2">
      <c r="A357" s="1" t="s">
        <v>1440</v>
      </c>
      <c r="B357" s="43" t="s">
        <v>589</v>
      </c>
      <c r="C357" s="46" t="s">
        <v>46</v>
      </c>
      <c r="D357" s="44" t="s">
        <v>70</v>
      </c>
      <c r="E357" s="34">
        <v>4498</v>
      </c>
      <c r="F357" s="46" t="s">
        <v>593</v>
      </c>
      <c r="G357" s="35">
        <f>25000*3</f>
        <v>75000</v>
      </c>
      <c r="H357" s="40">
        <f>25000*3</f>
        <v>75000</v>
      </c>
    </row>
    <row r="358" spans="1:8" s="15" customFormat="1" ht="27.95" customHeight="1" x14ac:dyDescent="0.2">
      <c r="A358" s="1" t="s">
        <v>1440</v>
      </c>
      <c r="B358" s="43" t="s">
        <v>609</v>
      </c>
      <c r="C358" s="46" t="s">
        <v>39</v>
      </c>
      <c r="D358" s="44" t="s">
        <v>106</v>
      </c>
      <c r="E358" s="34">
        <v>4627</v>
      </c>
      <c r="F358" s="46" t="s">
        <v>626</v>
      </c>
      <c r="G358" s="35">
        <v>75000</v>
      </c>
      <c r="H358" s="40">
        <v>75000</v>
      </c>
    </row>
    <row r="359" spans="1:8" s="15" customFormat="1" ht="27.95" customHeight="1" x14ac:dyDescent="0.2">
      <c r="A359" s="1" t="s">
        <v>1440</v>
      </c>
      <c r="B359" s="43" t="s">
        <v>693</v>
      </c>
      <c r="C359" s="46" t="s">
        <v>76</v>
      </c>
      <c r="D359" s="44" t="s">
        <v>710</v>
      </c>
      <c r="E359" s="34">
        <v>4717</v>
      </c>
      <c r="F359" s="46" t="s">
        <v>702</v>
      </c>
      <c r="G359" s="35">
        <f>25000*3</f>
        <v>75000</v>
      </c>
      <c r="H359" s="40">
        <f>25000*3</f>
        <v>75000</v>
      </c>
    </row>
    <row r="360" spans="1:8" s="15" customFormat="1" ht="27.95" customHeight="1" x14ac:dyDescent="0.2">
      <c r="A360" s="1" t="s">
        <v>1440</v>
      </c>
      <c r="B360" s="43" t="s">
        <v>806</v>
      </c>
      <c r="C360" s="46" t="s">
        <v>825</v>
      </c>
      <c r="D360" s="44" t="s">
        <v>830</v>
      </c>
      <c r="E360" s="34">
        <v>4077</v>
      </c>
      <c r="F360" s="46" t="s">
        <v>852</v>
      </c>
      <c r="G360" s="35">
        <f>25000*3</f>
        <v>75000</v>
      </c>
      <c r="H360" s="40">
        <f>25000*3</f>
        <v>75000</v>
      </c>
    </row>
    <row r="361" spans="1:8" s="15" customFormat="1" ht="27.95" customHeight="1" x14ac:dyDescent="0.2">
      <c r="A361" s="1" t="s">
        <v>1440</v>
      </c>
      <c r="B361" s="43" t="s">
        <v>810</v>
      </c>
      <c r="C361" s="46" t="s">
        <v>825</v>
      </c>
      <c r="D361" s="44" t="s">
        <v>834</v>
      </c>
      <c r="E361" s="34">
        <v>4101</v>
      </c>
      <c r="F361" s="46" t="s">
        <v>856</v>
      </c>
      <c r="G361" s="35">
        <f>25000*3</f>
        <v>75000</v>
      </c>
      <c r="H361" s="40">
        <f>25000*3</f>
        <v>75000</v>
      </c>
    </row>
    <row r="362" spans="1:8" s="15" customFormat="1" ht="27.95" customHeight="1" x14ac:dyDescent="0.2">
      <c r="A362" s="1" t="s">
        <v>1440</v>
      </c>
      <c r="B362" s="43" t="s">
        <v>814</v>
      </c>
      <c r="C362" s="46" t="s">
        <v>825</v>
      </c>
      <c r="D362" s="44" t="s">
        <v>838</v>
      </c>
      <c r="E362" s="34">
        <v>4106</v>
      </c>
      <c r="F362" s="46" t="s">
        <v>868</v>
      </c>
      <c r="G362" s="35">
        <f>25000*3</f>
        <v>75000</v>
      </c>
      <c r="H362" s="40">
        <f>25000*3</f>
        <v>75000</v>
      </c>
    </row>
    <row r="363" spans="1:8" s="15" customFormat="1" ht="27.95" customHeight="1" x14ac:dyDescent="0.2">
      <c r="A363" s="1" t="s">
        <v>1440</v>
      </c>
      <c r="B363" s="43" t="s">
        <v>1066</v>
      </c>
      <c r="C363" s="46" t="s">
        <v>1068</v>
      </c>
      <c r="D363" s="44" t="s">
        <v>1072</v>
      </c>
      <c r="E363" s="34">
        <v>5388</v>
      </c>
      <c r="F363" s="46" t="s">
        <v>1079</v>
      </c>
      <c r="G363" s="35">
        <f>25000*3</f>
        <v>75000</v>
      </c>
      <c r="H363" s="40">
        <f>25000*3</f>
        <v>75000</v>
      </c>
    </row>
    <row r="364" spans="1:8" s="15" customFormat="1" ht="27.95" customHeight="1" x14ac:dyDescent="0.2">
      <c r="A364" s="1" t="s">
        <v>1440</v>
      </c>
      <c r="B364" s="43" t="s">
        <v>1279</v>
      </c>
      <c r="C364" s="46" t="s">
        <v>39</v>
      </c>
      <c r="D364" s="44" t="s">
        <v>623</v>
      </c>
      <c r="E364" s="47">
        <v>5572</v>
      </c>
      <c r="F364" s="46" t="s">
        <v>1281</v>
      </c>
      <c r="G364" s="35">
        <v>75150</v>
      </c>
      <c r="H364" s="40">
        <v>75150</v>
      </c>
    </row>
    <row r="365" spans="1:8" s="15" customFormat="1" ht="27.95" customHeight="1" x14ac:dyDescent="0.2">
      <c r="A365" s="1" t="s">
        <v>1440</v>
      </c>
      <c r="B365" s="43" t="s">
        <v>544</v>
      </c>
      <c r="C365" s="46" t="s">
        <v>17</v>
      </c>
      <c r="D365" s="44" t="s">
        <v>558</v>
      </c>
      <c r="E365" s="47">
        <v>4165</v>
      </c>
      <c r="F365" s="46" t="s">
        <v>574</v>
      </c>
      <c r="G365" s="35">
        <f>25500*3</f>
        <v>76500</v>
      </c>
      <c r="H365" s="40">
        <f>25500*3</f>
        <v>76500</v>
      </c>
    </row>
    <row r="366" spans="1:8" s="15" customFormat="1" ht="27.95" customHeight="1" x14ac:dyDescent="0.2">
      <c r="A366" s="1" t="s">
        <v>1440</v>
      </c>
      <c r="B366" s="43" t="s">
        <v>1126</v>
      </c>
      <c r="C366" s="46" t="s">
        <v>1128</v>
      </c>
      <c r="D366" s="44" t="s">
        <v>309</v>
      </c>
      <c r="E366" s="34">
        <v>5468</v>
      </c>
      <c r="F366" s="46" t="s">
        <v>1131</v>
      </c>
      <c r="G366" s="35">
        <v>76500</v>
      </c>
      <c r="H366" s="40">
        <v>76500</v>
      </c>
    </row>
    <row r="367" spans="1:8" s="15" customFormat="1" ht="27.95" customHeight="1" x14ac:dyDescent="0.2">
      <c r="A367" s="1" t="s">
        <v>1440</v>
      </c>
      <c r="B367" s="43" t="s">
        <v>767</v>
      </c>
      <c r="C367" s="46" t="s">
        <v>19</v>
      </c>
      <c r="D367" s="44" t="s">
        <v>793</v>
      </c>
      <c r="E367" s="34">
        <v>5017</v>
      </c>
      <c r="F367" s="46" t="s">
        <v>781</v>
      </c>
      <c r="G367" s="35">
        <v>77000</v>
      </c>
      <c r="H367" s="40">
        <v>35700</v>
      </c>
    </row>
    <row r="368" spans="1:8" s="15" customFormat="1" ht="27.95" customHeight="1" x14ac:dyDescent="0.2">
      <c r="A368" s="1" t="s">
        <v>1440</v>
      </c>
      <c r="B368" s="43" t="s">
        <v>940</v>
      </c>
      <c r="C368" s="46" t="s">
        <v>76</v>
      </c>
      <c r="D368" s="44" t="s">
        <v>947</v>
      </c>
      <c r="E368" s="34">
        <v>4969</v>
      </c>
      <c r="F368" s="46" t="s">
        <v>953</v>
      </c>
      <c r="G368" s="35">
        <v>77185</v>
      </c>
      <c r="H368" s="40">
        <v>77185</v>
      </c>
    </row>
    <row r="369" spans="1:8" s="15" customFormat="1" ht="27.95" customHeight="1" x14ac:dyDescent="0.2">
      <c r="A369" s="1" t="s">
        <v>1440</v>
      </c>
      <c r="B369" s="43" t="s">
        <v>1366</v>
      </c>
      <c r="C369" s="46" t="s">
        <v>17</v>
      </c>
      <c r="D369" s="44" t="s">
        <v>1368</v>
      </c>
      <c r="E369" s="34">
        <v>6171</v>
      </c>
      <c r="F369" s="46" t="s">
        <v>1371</v>
      </c>
      <c r="G369" s="35">
        <v>77754</v>
      </c>
      <c r="H369" s="40">
        <v>77754</v>
      </c>
    </row>
    <row r="370" spans="1:8" s="15" customFormat="1" ht="27.95" customHeight="1" x14ac:dyDescent="0.2">
      <c r="A370" s="1" t="s">
        <v>1440</v>
      </c>
      <c r="B370" s="43" t="s">
        <v>169</v>
      </c>
      <c r="C370" s="46" t="s">
        <v>19</v>
      </c>
      <c r="D370" s="44" t="s">
        <v>27</v>
      </c>
      <c r="E370" s="34">
        <v>4153</v>
      </c>
      <c r="F370" s="46" t="s">
        <v>197</v>
      </c>
      <c r="G370" s="35">
        <f>26000*3</f>
        <v>78000</v>
      </c>
      <c r="H370" s="40">
        <f>26000*3</f>
        <v>78000</v>
      </c>
    </row>
    <row r="371" spans="1:8" s="15" customFormat="1" ht="27.95" customHeight="1" x14ac:dyDescent="0.2">
      <c r="A371" s="1" t="s">
        <v>1440</v>
      </c>
      <c r="B371" s="43" t="s">
        <v>439</v>
      </c>
      <c r="C371" s="46" t="s">
        <v>39</v>
      </c>
      <c r="D371" s="44" t="s">
        <v>454</v>
      </c>
      <c r="E371" s="47">
        <v>4381</v>
      </c>
      <c r="F371" s="46" t="s">
        <v>465</v>
      </c>
      <c r="G371" s="35">
        <f>26462*3</f>
        <v>79386</v>
      </c>
      <c r="H371" s="40">
        <f>26462*3</f>
        <v>79386</v>
      </c>
    </row>
    <row r="372" spans="1:8" s="15" customFormat="1" ht="27.95" customHeight="1" x14ac:dyDescent="0.2">
      <c r="A372" s="1" t="s">
        <v>1440</v>
      </c>
      <c r="B372" s="43" t="s">
        <v>937</v>
      </c>
      <c r="C372" s="46" t="s">
        <v>72</v>
      </c>
      <c r="D372" s="44" t="s">
        <v>944</v>
      </c>
      <c r="E372" s="34">
        <v>4752</v>
      </c>
      <c r="F372" s="46" t="s">
        <v>950</v>
      </c>
      <c r="G372" s="35">
        <f>64973+7475+7475</f>
        <v>79923</v>
      </c>
      <c r="H372" s="40">
        <f>64973+7475+7475</f>
        <v>79923</v>
      </c>
    </row>
    <row r="373" spans="1:8" s="15" customFormat="1" ht="27.95" customHeight="1" x14ac:dyDescent="0.2">
      <c r="A373" s="1" t="s">
        <v>1440</v>
      </c>
      <c r="B373" s="43" t="s">
        <v>1133</v>
      </c>
      <c r="C373" s="46" t="s">
        <v>17</v>
      </c>
      <c r="D373" s="44" t="s">
        <v>1138</v>
      </c>
      <c r="E373" s="34">
        <v>5583</v>
      </c>
      <c r="F373" s="46" t="s">
        <v>1140</v>
      </c>
      <c r="G373" s="35">
        <f>40320*2</f>
        <v>80640</v>
      </c>
      <c r="H373" s="40">
        <f>40320*2</f>
        <v>80640</v>
      </c>
    </row>
    <row r="374" spans="1:8" s="15" customFormat="1" ht="27.95" customHeight="1" x14ac:dyDescent="0.2">
      <c r="A374" s="1" t="s">
        <v>1440</v>
      </c>
      <c r="B374" s="43" t="s">
        <v>1289</v>
      </c>
      <c r="C374" s="46" t="s">
        <v>67</v>
      </c>
      <c r="D374" s="44" t="s">
        <v>1301</v>
      </c>
      <c r="E374" s="47">
        <v>5944</v>
      </c>
      <c r="F374" s="46" t="s">
        <v>1316</v>
      </c>
      <c r="G374" s="35">
        <f>27250*3</f>
        <v>81750</v>
      </c>
      <c r="H374" s="40">
        <f>27250*3</f>
        <v>81750</v>
      </c>
    </row>
    <row r="375" spans="1:8" s="15" customFormat="1" ht="27.95" customHeight="1" x14ac:dyDescent="0.2">
      <c r="A375" s="1" t="s">
        <v>1440</v>
      </c>
      <c r="B375" s="43" t="s">
        <v>135</v>
      </c>
      <c r="C375" s="46" t="s">
        <v>17</v>
      </c>
      <c r="D375" s="44" t="s">
        <v>143</v>
      </c>
      <c r="E375" s="34">
        <v>3618</v>
      </c>
      <c r="F375" s="46" t="s">
        <v>139</v>
      </c>
      <c r="G375" s="49">
        <f>28000+28000+28000</f>
        <v>84000</v>
      </c>
      <c r="H375" s="40">
        <v>25000</v>
      </c>
    </row>
    <row r="376" spans="1:8" s="15" customFormat="1" ht="27.95" customHeight="1" x14ac:dyDescent="0.2">
      <c r="A376" s="1" t="s">
        <v>1440</v>
      </c>
      <c r="B376" s="43" t="s">
        <v>1037</v>
      </c>
      <c r="C376" s="46" t="s">
        <v>26</v>
      </c>
      <c r="D376" s="44" t="s">
        <v>1041</v>
      </c>
      <c r="E376" s="47" t="s">
        <v>41</v>
      </c>
      <c r="F376" s="46" t="s">
        <v>1044</v>
      </c>
      <c r="G376" s="35">
        <v>85000</v>
      </c>
      <c r="H376" s="40">
        <v>85000</v>
      </c>
    </row>
    <row r="377" spans="1:8" s="15" customFormat="1" ht="27.95" customHeight="1" x14ac:dyDescent="0.2">
      <c r="A377" s="1" t="s">
        <v>1440</v>
      </c>
      <c r="B377" s="43" t="s">
        <v>1103</v>
      </c>
      <c r="C377" s="46" t="s">
        <v>1091</v>
      </c>
      <c r="D377" s="44" t="s">
        <v>666</v>
      </c>
      <c r="E377" s="34">
        <v>5458</v>
      </c>
      <c r="F377" s="46" t="s">
        <v>1118</v>
      </c>
      <c r="G377" s="35">
        <f>28865*3</f>
        <v>86595</v>
      </c>
      <c r="H377" s="40">
        <f>28865*3</f>
        <v>86595</v>
      </c>
    </row>
    <row r="378" spans="1:8" s="15" customFormat="1" ht="27.95" customHeight="1" x14ac:dyDescent="0.2">
      <c r="A378" s="1" t="s">
        <v>1440</v>
      </c>
      <c r="B378" s="43" t="s">
        <v>447</v>
      </c>
      <c r="C378" s="46" t="s">
        <v>39</v>
      </c>
      <c r="D378" s="44" t="s">
        <v>459</v>
      </c>
      <c r="E378" s="47">
        <v>4307</v>
      </c>
      <c r="F378" s="46" t="s">
        <v>473</v>
      </c>
      <c r="G378" s="35">
        <f>30000*3</f>
        <v>90000</v>
      </c>
      <c r="H378" s="40">
        <f>30000*3</f>
        <v>90000</v>
      </c>
    </row>
    <row r="379" spans="1:8" s="15" customFormat="1" ht="27.95" customHeight="1" x14ac:dyDescent="0.2">
      <c r="A379" s="1" t="s">
        <v>1440</v>
      </c>
      <c r="B379" s="43" t="s">
        <v>483</v>
      </c>
      <c r="C379" s="46" t="s">
        <v>46</v>
      </c>
      <c r="D379" s="44" t="s">
        <v>74</v>
      </c>
      <c r="E379" s="47">
        <v>4404</v>
      </c>
      <c r="F379" s="46" t="s">
        <v>509</v>
      </c>
      <c r="G379" s="35">
        <f>30000*3</f>
        <v>90000</v>
      </c>
      <c r="H379" s="40">
        <f>30000*3</f>
        <v>90000</v>
      </c>
    </row>
    <row r="380" spans="1:8" s="15" customFormat="1" ht="27.95" customHeight="1" x14ac:dyDescent="0.2">
      <c r="A380" s="1" t="s">
        <v>1440</v>
      </c>
      <c r="B380" s="43" t="s">
        <v>490</v>
      </c>
      <c r="C380" s="46" t="s">
        <v>17</v>
      </c>
      <c r="D380" s="44" t="s">
        <v>501</v>
      </c>
      <c r="E380" s="47">
        <v>3939</v>
      </c>
      <c r="F380" s="46" t="s">
        <v>516</v>
      </c>
      <c r="G380" s="35">
        <f>30000*3</f>
        <v>90000</v>
      </c>
      <c r="H380" s="40">
        <f>30000*3</f>
        <v>90000</v>
      </c>
    </row>
    <row r="381" spans="1:8" s="15" customFormat="1" ht="27.95" customHeight="1" x14ac:dyDescent="0.2">
      <c r="A381" s="1" t="s">
        <v>1440</v>
      </c>
      <c r="B381" s="43" t="s">
        <v>542</v>
      </c>
      <c r="C381" s="46" t="s">
        <v>551</v>
      </c>
      <c r="D381" s="44" t="s">
        <v>94</v>
      </c>
      <c r="E381" s="47">
        <v>4179</v>
      </c>
      <c r="F381" s="46" t="s">
        <v>572</v>
      </c>
      <c r="G381" s="35">
        <f>30000*3</f>
        <v>90000</v>
      </c>
      <c r="H381" s="40">
        <f>30000*3</f>
        <v>90000</v>
      </c>
    </row>
    <row r="382" spans="1:8" s="15" customFormat="1" ht="27.95" customHeight="1" x14ac:dyDescent="0.2">
      <c r="A382" s="1" t="s">
        <v>1440</v>
      </c>
      <c r="B382" s="43" t="s">
        <v>656</v>
      </c>
      <c r="C382" s="46" t="s">
        <v>49</v>
      </c>
      <c r="D382" s="44" t="s">
        <v>669</v>
      </c>
      <c r="E382" s="34">
        <v>4258</v>
      </c>
      <c r="F382" s="46" t="s">
        <v>674</v>
      </c>
      <c r="G382" s="35">
        <v>90000</v>
      </c>
      <c r="H382" s="40">
        <v>88973</v>
      </c>
    </row>
    <row r="383" spans="1:8" s="15" customFormat="1" ht="27.95" customHeight="1" x14ac:dyDescent="0.2">
      <c r="A383" s="1" t="s">
        <v>1440</v>
      </c>
      <c r="B383" s="43" t="s">
        <v>996</v>
      </c>
      <c r="C383" s="46" t="s">
        <v>46</v>
      </c>
      <c r="D383" s="44" t="s">
        <v>1000</v>
      </c>
      <c r="E383" s="34">
        <v>4998</v>
      </c>
      <c r="F383" s="46" t="s">
        <v>1003</v>
      </c>
      <c r="G383" s="35">
        <f>30000*3</f>
        <v>90000</v>
      </c>
      <c r="H383" s="40">
        <v>40000</v>
      </c>
    </row>
    <row r="384" spans="1:8" s="15" customFormat="1" ht="27.95" customHeight="1" x14ac:dyDescent="0.2">
      <c r="A384" s="1" t="s">
        <v>1440</v>
      </c>
      <c r="B384" s="43" t="s">
        <v>1256</v>
      </c>
      <c r="C384" s="46" t="s">
        <v>17</v>
      </c>
      <c r="D384" s="44" t="s">
        <v>797</v>
      </c>
      <c r="E384" s="47" t="s">
        <v>1258</v>
      </c>
      <c r="F384" s="46" t="s">
        <v>1260</v>
      </c>
      <c r="G384" s="49">
        <f>30000*3</f>
        <v>90000</v>
      </c>
      <c r="H384" s="40">
        <v>32000</v>
      </c>
    </row>
    <row r="385" spans="1:8" s="15" customFormat="1" ht="27.95" customHeight="1" x14ac:dyDescent="0.2">
      <c r="A385" s="1" t="s">
        <v>1440</v>
      </c>
      <c r="B385" s="43" t="s">
        <v>1222</v>
      </c>
      <c r="C385" s="46" t="s">
        <v>1223</v>
      </c>
      <c r="D385" s="44" t="s">
        <v>1225</v>
      </c>
      <c r="E385" s="47" t="s">
        <v>41</v>
      </c>
      <c r="F385" s="46" t="s">
        <v>1226</v>
      </c>
      <c r="G385" s="35">
        <v>91241</v>
      </c>
      <c r="H385" s="40">
        <v>91241</v>
      </c>
    </row>
    <row r="386" spans="1:8" s="15" customFormat="1" ht="27.95" customHeight="1" x14ac:dyDescent="0.2">
      <c r="A386" s="1" t="s">
        <v>1440</v>
      </c>
      <c r="B386" s="43" t="s">
        <v>1365</v>
      </c>
      <c r="C386" s="46" t="s">
        <v>40</v>
      </c>
      <c r="D386" s="44" t="s">
        <v>621</v>
      </c>
      <c r="E386" s="47" t="s">
        <v>41</v>
      </c>
      <c r="F386" s="46" t="s">
        <v>1370</v>
      </c>
      <c r="G386" s="35">
        <v>92000</v>
      </c>
      <c r="H386" s="40">
        <v>92000</v>
      </c>
    </row>
    <row r="387" spans="1:8" s="15" customFormat="1" ht="27.95" customHeight="1" x14ac:dyDescent="0.2">
      <c r="A387" s="1" t="s">
        <v>1440</v>
      </c>
      <c r="B387" s="43" t="s">
        <v>995</v>
      </c>
      <c r="C387" s="46" t="s">
        <v>17</v>
      </c>
      <c r="D387" s="44" t="s">
        <v>999</v>
      </c>
      <c r="E387" s="34">
        <v>5160</v>
      </c>
      <c r="F387" s="46" t="s">
        <v>963</v>
      </c>
      <c r="G387" s="35">
        <v>92800</v>
      </c>
      <c r="H387" s="40">
        <v>1432649</v>
      </c>
    </row>
    <row r="388" spans="1:8" s="15" customFormat="1" ht="27.95" customHeight="1" x14ac:dyDescent="0.2">
      <c r="A388" s="1" t="s">
        <v>1440</v>
      </c>
      <c r="B388" s="43" t="s">
        <v>1318</v>
      </c>
      <c r="C388" s="46" t="s">
        <v>39</v>
      </c>
      <c r="D388" s="44" t="s">
        <v>646</v>
      </c>
      <c r="E388" s="47">
        <v>6041</v>
      </c>
      <c r="F388" s="46" t="s">
        <v>1319</v>
      </c>
      <c r="G388" s="35">
        <v>94860</v>
      </c>
      <c r="H388" s="40">
        <v>94860</v>
      </c>
    </row>
    <row r="389" spans="1:8" s="15" customFormat="1" ht="27.95" customHeight="1" x14ac:dyDescent="0.2">
      <c r="A389" s="1" t="s">
        <v>1440</v>
      </c>
      <c r="B389" s="43" t="s">
        <v>715</v>
      </c>
      <c r="C389" s="46" t="s">
        <v>49</v>
      </c>
      <c r="D389" s="44" t="s">
        <v>728</v>
      </c>
      <c r="E389" s="34">
        <v>4784</v>
      </c>
      <c r="F389" s="46" t="s">
        <v>724</v>
      </c>
      <c r="G389" s="35">
        <v>95000</v>
      </c>
      <c r="H389" s="40">
        <v>95000</v>
      </c>
    </row>
    <row r="390" spans="1:8" s="15" customFormat="1" ht="27.95" customHeight="1" x14ac:dyDescent="0.2">
      <c r="A390" s="1" t="s">
        <v>1440</v>
      </c>
      <c r="B390" s="43" t="s">
        <v>718</v>
      </c>
      <c r="C390" s="46" t="s">
        <v>49</v>
      </c>
      <c r="D390" s="44" t="s">
        <v>731</v>
      </c>
      <c r="E390" s="34">
        <v>4823</v>
      </c>
      <c r="F390" s="46" t="s">
        <v>724</v>
      </c>
      <c r="G390" s="35">
        <v>95000</v>
      </c>
      <c r="H390" s="40">
        <v>95000</v>
      </c>
    </row>
    <row r="391" spans="1:8" s="15" customFormat="1" ht="27.95" customHeight="1" x14ac:dyDescent="0.2">
      <c r="A391" s="1" t="s">
        <v>1440</v>
      </c>
      <c r="B391" s="43" t="s">
        <v>719</v>
      </c>
      <c r="C391" s="46" t="s">
        <v>49</v>
      </c>
      <c r="D391" s="44" t="s">
        <v>732</v>
      </c>
      <c r="E391" s="34">
        <v>4824</v>
      </c>
      <c r="F391" s="46" t="s">
        <v>724</v>
      </c>
      <c r="G391" s="35">
        <v>95000</v>
      </c>
      <c r="H391" s="40">
        <v>95000</v>
      </c>
    </row>
    <row r="392" spans="1:8" s="15" customFormat="1" ht="27.95" customHeight="1" x14ac:dyDescent="0.2">
      <c r="A392" s="1" t="s">
        <v>1440</v>
      </c>
      <c r="B392" s="43" t="s">
        <v>720</v>
      </c>
      <c r="C392" s="46" t="s">
        <v>49</v>
      </c>
      <c r="D392" s="44" t="s">
        <v>733</v>
      </c>
      <c r="E392" s="34">
        <v>4825</v>
      </c>
      <c r="F392" s="46" t="s">
        <v>724</v>
      </c>
      <c r="G392" s="35">
        <v>95000</v>
      </c>
      <c r="H392" s="40">
        <v>95000</v>
      </c>
    </row>
    <row r="393" spans="1:8" s="15" customFormat="1" ht="27.95" customHeight="1" x14ac:dyDescent="0.2">
      <c r="A393" s="1" t="s">
        <v>1440</v>
      </c>
      <c r="B393" s="43" t="s">
        <v>721</v>
      </c>
      <c r="C393" s="46" t="s">
        <v>49</v>
      </c>
      <c r="D393" s="44" t="s">
        <v>734</v>
      </c>
      <c r="E393" s="34">
        <v>4826</v>
      </c>
      <c r="F393" s="46" t="s">
        <v>724</v>
      </c>
      <c r="G393" s="35">
        <v>95000</v>
      </c>
      <c r="H393" s="40">
        <v>95000</v>
      </c>
    </row>
    <row r="394" spans="1:8" s="15" customFormat="1" ht="27.95" customHeight="1" x14ac:dyDescent="0.2">
      <c r="A394" s="1" t="s">
        <v>1440</v>
      </c>
      <c r="B394" s="43" t="s">
        <v>776</v>
      </c>
      <c r="C394" s="46" t="s">
        <v>49</v>
      </c>
      <c r="D394" s="44" t="s">
        <v>801</v>
      </c>
      <c r="E394" s="34">
        <v>4991</v>
      </c>
      <c r="F394" s="46" t="s">
        <v>788</v>
      </c>
      <c r="G394" s="35">
        <v>95000</v>
      </c>
      <c r="H394" s="40">
        <v>95000</v>
      </c>
    </row>
    <row r="395" spans="1:8" s="15" customFormat="1" ht="27.95" customHeight="1" x14ac:dyDescent="0.2">
      <c r="A395" s="1" t="s">
        <v>1440</v>
      </c>
      <c r="B395" s="43" t="s">
        <v>777</v>
      </c>
      <c r="C395" s="46" t="s">
        <v>49</v>
      </c>
      <c r="D395" s="44" t="s">
        <v>123</v>
      </c>
      <c r="E395" s="34">
        <v>4990</v>
      </c>
      <c r="F395" s="46" t="s">
        <v>788</v>
      </c>
      <c r="G395" s="35">
        <v>95000</v>
      </c>
      <c r="H395" s="40">
        <v>95000</v>
      </c>
    </row>
    <row r="396" spans="1:8" s="15" customFormat="1" ht="27.95" customHeight="1" x14ac:dyDescent="0.2">
      <c r="A396" s="1" t="s">
        <v>1440</v>
      </c>
      <c r="B396" s="43" t="s">
        <v>936</v>
      </c>
      <c r="C396" s="46" t="s">
        <v>49</v>
      </c>
      <c r="D396" s="44" t="s">
        <v>943</v>
      </c>
      <c r="E396" s="34">
        <v>5055</v>
      </c>
      <c r="F396" s="46" t="s">
        <v>724</v>
      </c>
      <c r="G396" s="35">
        <v>95000</v>
      </c>
      <c r="H396" s="40">
        <v>95000</v>
      </c>
    </row>
    <row r="397" spans="1:8" s="15" customFormat="1" ht="27.95" customHeight="1" x14ac:dyDescent="0.2">
      <c r="A397" s="1" t="s">
        <v>1440</v>
      </c>
      <c r="B397" s="43" t="s">
        <v>1178</v>
      </c>
      <c r="C397" s="46" t="s">
        <v>1180</v>
      </c>
      <c r="D397" s="44" t="s">
        <v>1181</v>
      </c>
      <c r="E397" s="47" t="s">
        <v>41</v>
      </c>
      <c r="F397" s="46" t="s">
        <v>1183</v>
      </c>
      <c r="G397" s="35">
        <v>95103</v>
      </c>
      <c r="H397" s="40">
        <v>95103</v>
      </c>
    </row>
    <row r="398" spans="1:8" s="15" customFormat="1" ht="27.95" customHeight="1" x14ac:dyDescent="0.2">
      <c r="A398" s="1" t="s">
        <v>1440</v>
      </c>
      <c r="B398" s="43" t="s">
        <v>1147</v>
      </c>
      <c r="C398" s="46" t="s">
        <v>76</v>
      </c>
      <c r="D398" s="44" t="s">
        <v>1152</v>
      </c>
      <c r="E398" s="34">
        <v>5587</v>
      </c>
      <c r="F398" s="46" t="s">
        <v>1155</v>
      </c>
      <c r="G398" s="35">
        <v>95800</v>
      </c>
      <c r="H398" s="40">
        <v>95800</v>
      </c>
    </row>
    <row r="399" spans="1:8" s="15" customFormat="1" ht="27.95" customHeight="1" x14ac:dyDescent="0.2">
      <c r="A399" s="1" t="s">
        <v>1440</v>
      </c>
      <c r="B399" s="43" t="s">
        <v>886</v>
      </c>
      <c r="C399" s="46" t="s">
        <v>17</v>
      </c>
      <c r="D399" s="44" t="s">
        <v>797</v>
      </c>
      <c r="E399" s="34">
        <v>4107</v>
      </c>
      <c r="F399" s="46" t="s">
        <v>784</v>
      </c>
      <c r="G399" s="35">
        <f>32000*3</f>
        <v>96000</v>
      </c>
      <c r="H399" s="40">
        <f>32000*3</f>
        <v>96000</v>
      </c>
    </row>
    <row r="400" spans="1:8" s="15" customFormat="1" ht="27.95" customHeight="1" x14ac:dyDescent="0.2">
      <c r="A400" s="1" t="s">
        <v>1440</v>
      </c>
      <c r="B400" s="43" t="s">
        <v>935</v>
      </c>
      <c r="C400" s="46" t="s">
        <v>80</v>
      </c>
      <c r="D400" s="44" t="s">
        <v>942</v>
      </c>
      <c r="E400" s="34">
        <v>5119</v>
      </c>
      <c r="F400" s="46" t="s">
        <v>949</v>
      </c>
      <c r="G400" s="35">
        <v>96000</v>
      </c>
      <c r="H400" s="40">
        <v>96000</v>
      </c>
    </row>
    <row r="401" spans="1:8" s="15" customFormat="1" ht="27.95" customHeight="1" x14ac:dyDescent="0.2">
      <c r="A401" s="1" t="s">
        <v>1440</v>
      </c>
      <c r="B401" s="43" t="s">
        <v>132</v>
      </c>
      <c r="C401" s="46" t="s">
        <v>124</v>
      </c>
      <c r="D401" s="44" t="s">
        <v>140</v>
      </c>
      <c r="E401" s="39">
        <v>3873</v>
      </c>
      <c r="F401" s="46" t="s">
        <v>136</v>
      </c>
      <c r="G401" s="35">
        <v>96200</v>
      </c>
      <c r="H401" s="40">
        <v>96200</v>
      </c>
    </row>
    <row r="402" spans="1:8" s="15" customFormat="1" ht="27.95" customHeight="1" x14ac:dyDescent="0.2">
      <c r="A402" s="1" t="s">
        <v>1440</v>
      </c>
      <c r="B402" s="43" t="s">
        <v>1081</v>
      </c>
      <c r="C402" s="46" t="s">
        <v>75</v>
      </c>
      <c r="D402" s="44" t="s">
        <v>1082</v>
      </c>
      <c r="E402" s="34">
        <v>5301</v>
      </c>
      <c r="F402" s="46" t="s">
        <v>1084</v>
      </c>
      <c r="G402" s="35">
        <v>97600</v>
      </c>
      <c r="H402" s="40">
        <v>97600</v>
      </c>
    </row>
    <row r="403" spans="1:8" s="15" customFormat="1" ht="27.95" customHeight="1" x14ac:dyDescent="0.2">
      <c r="A403" s="1" t="s">
        <v>1440</v>
      </c>
      <c r="B403" s="43" t="s">
        <v>133</v>
      </c>
      <c r="C403" s="46" t="s">
        <v>39</v>
      </c>
      <c r="D403" s="44" t="s">
        <v>141</v>
      </c>
      <c r="E403" s="34">
        <v>3881</v>
      </c>
      <c r="F403" s="46" t="s">
        <v>137</v>
      </c>
      <c r="G403" s="35">
        <v>98000</v>
      </c>
      <c r="H403" s="40">
        <v>98000</v>
      </c>
    </row>
    <row r="404" spans="1:8" s="15" customFormat="1" ht="27.95" customHeight="1" x14ac:dyDescent="0.2">
      <c r="A404" s="1" t="s">
        <v>1440</v>
      </c>
      <c r="B404" s="43" t="s">
        <v>1282</v>
      </c>
      <c r="C404" s="46" t="s">
        <v>39</v>
      </c>
      <c r="D404" s="44" t="s">
        <v>1284</v>
      </c>
      <c r="E404" s="47">
        <v>5974</v>
      </c>
      <c r="F404" s="46" t="s">
        <v>1286</v>
      </c>
      <c r="G404" s="35">
        <v>98000</v>
      </c>
      <c r="H404" s="40">
        <v>98000</v>
      </c>
    </row>
    <row r="405" spans="1:8" s="15" customFormat="1" ht="27.95" customHeight="1" x14ac:dyDescent="0.2">
      <c r="A405" s="1" t="s">
        <v>1440</v>
      </c>
      <c r="B405" s="43" t="s">
        <v>260</v>
      </c>
      <c r="C405" s="46" t="s">
        <v>26</v>
      </c>
      <c r="D405" s="44" t="s">
        <v>291</v>
      </c>
      <c r="E405" s="47" t="s">
        <v>295</v>
      </c>
      <c r="F405" s="46" t="s">
        <v>276</v>
      </c>
      <c r="G405" s="35">
        <v>99000</v>
      </c>
      <c r="H405" s="40">
        <v>99000</v>
      </c>
    </row>
    <row r="406" spans="1:8" s="15" customFormat="1" ht="27.95" customHeight="1" x14ac:dyDescent="0.2">
      <c r="A406" s="1" t="s">
        <v>1440</v>
      </c>
      <c r="B406" s="43" t="s">
        <v>266</v>
      </c>
      <c r="C406" s="46" t="s">
        <v>18</v>
      </c>
      <c r="D406" s="44" t="s">
        <v>293</v>
      </c>
      <c r="E406" s="34">
        <v>4093</v>
      </c>
      <c r="F406" s="46" t="s">
        <v>280</v>
      </c>
      <c r="G406" s="35">
        <v>99000</v>
      </c>
      <c r="H406" s="40">
        <v>99000</v>
      </c>
    </row>
    <row r="407" spans="1:8" s="15" customFormat="1" ht="27.95" customHeight="1" x14ac:dyDescent="0.2">
      <c r="A407" s="1" t="s">
        <v>1440</v>
      </c>
      <c r="B407" s="43" t="s">
        <v>480</v>
      </c>
      <c r="C407" s="46" t="s">
        <v>40</v>
      </c>
      <c r="D407" s="44" t="s">
        <v>495</v>
      </c>
      <c r="E407" s="47">
        <v>4393</v>
      </c>
      <c r="F407" s="46" t="s">
        <v>506</v>
      </c>
      <c r="G407" s="35">
        <f>33000*3</f>
        <v>99000</v>
      </c>
      <c r="H407" s="40">
        <f>33000*3</f>
        <v>99000</v>
      </c>
    </row>
    <row r="408" spans="1:8" s="15" customFormat="1" ht="27.95" customHeight="1" x14ac:dyDescent="0.2">
      <c r="A408" s="1" t="s">
        <v>1440</v>
      </c>
      <c r="B408" s="43" t="s">
        <v>605</v>
      </c>
      <c r="C408" s="46" t="s">
        <v>39</v>
      </c>
      <c r="D408" s="44" t="s">
        <v>114</v>
      </c>
      <c r="E408" s="34">
        <v>4597</v>
      </c>
      <c r="F408" s="46" t="s">
        <v>625</v>
      </c>
      <c r="G408" s="35">
        <v>99000</v>
      </c>
      <c r="H408" s="40">
        <v>99000</v>
      </c>
    </row>
    <row r="409" spans="1:8" s="15" customFormat="1" ht="27.95" customHeight="1" x14ac:dyDescent="0.2">
      <c r="A409" s="1" t="s">
        <v>1440</v>
      </c>
      <c r="B409" s="43" t="s">
        <v>606</v>
      </c>
      <c r="C409" s="46" t="s">
        <v>39</v>
      </c>
      <c r="D409" s="44" t="s">
        <v>617</v>
      </c>
      <c r="E409" s="34">
        <v>4628</v>
      </c>
      <c r="F409" s="46" t="s">
        <v>626</v>
      </c>
      <c r="G409" s="35">
        <v>99000</v>
      </c>
      <c r="H409" s="40">
        <v>99000</v>
      </c>
    </row>
    <row r="410" spans="1:8" s="15" customFormat="1" ht="27.95" customHeight="1" x14ac:dyDescent="0.2">
      <c r="A410" s="1" t="s">
        <v>1440</v>
      </c>
      <c r="B410" s="43" t="s">
        <v>608</v>
      </c>
      <c r="C410" s="46" t="s">
        <v>39</v>
      </c>
      <c r="D410" s="44" t="s">
        <v>619</v>
      </c>
      <c r="E410" s="34">
        <v>4633</v>
      </c>
      <c r="F410" s="46" t="s">
        <v>628</v>
      </c>
      <c r="G410" s="35">
        <v>99000</v>
      </c>
      <c r="H410" s="40">
        <v>99000</v>
      </c>
    </row>
    <row r="411" spans="1:8" s="15" customFormat="1" ht="27.95" customHeight="1" x14ac:dyDescent="0.2">
      <c r="A411" s="1" t="s">
        <v>1440</v>
      </c>
      <c r="B411" s="43" t="s">
        <v>610</v>
      </c>
      <c r="C411" s="46" t="s">
        <v>18</v>
      </c>
      <c r="D411" s="44" t="s">
        <v>97</v>
      </c>
      <c r="E411" s="34">
        <v>4600</v>
      </c>
      <c r="F411" s="46" t="s">
        <v>629</v>
      </c>
      <c r="G411" s="35">
        <v>99000</v>
      </c>
      <c r="H411" s="40">
        <v>99000</v>
      </c>
    </row>
    <row r="412" spans="1:8" s="15" customFormat="1" ht="27.95" customHeight="1" x14ac:dyDescent="0.2">
      <c r="A412" s="1" t="s">
        <v>1440</v>
      </c>
      <c r="B412" s="43" t="s">
        <v>612</v>
      </c>
      <c r="C412" s="46" t="s">
        <v>39</v>
      </c>
      <c r="D412" s="44" t="s">
        <v>123</v>
      </c>
      <c r="E412" s="34">
        <v>4664</v>
      </c>
      <c r="F412" s="46" t="s">
        <v>631</v>
      </c>
      <c r="G412" s="35">
        <v>99000</v>
      </c>
      <c r="H412" s="40">
        <v>99000</v>
      </c>
    </row>
    <row r="413" spans="1:8" s="15" customFormat="1" ht="27.95" customHeight="1" x14ac:dyDescent="0.2">
      <c r="A413" s="1" t="s">
        <v>1440</v>
      </c>
      <c r="B413" s="43" t="s">
        <v>613</v>
      </c>
      <c r="C413" s="46" t="s">
        <v>39</v>
      </c>
      <c r="D413" s="44" t="s">
        <v>621</v>
      </c>
      <c r="E413" s="34">
        <v>4661</v>
      </c>
      <c r="F413" s="46" t="s">
        <v>628</v>
      </c>
      <c r="G413" s="35">
        <v>99000</v>
      </c>
      <c r="H413" s="40">
        <v>99000</v>
      </c>
    </row>
    <row r="414" spans="1:8" s="15" customFormat="1" ht="27.95" customHeight="1" x14ac:dyDescent="0.2">
      <c r="A414" s="1" t="s">
        <v>1440</v>
      </c>
      <c r="B414" s="43" t="s">
        <v>614</v>
      </c>
      <c r="C414" s="46" t="s">
        <v>39</v>
      </c>
      <c r="D414" s="44" t="s">
        <v>622</v>
      </c>
      <c r="E414" s="34">
        <v>4460</v>
      </c>
      <c r="F414" s="46" t="s">
        <v>632</v>
      </c>
      <c r="G414" s="35">
        <v>99000</v>
      </c>
      <c r="H414" s="40">
        <v>99000</v>
      </c>
    </row>
    <row r="415" spans="1:8" s="15" customFormat="1" ht="27.95" customHeight="1" x14ac:dyDescent="0.2">
      <c r="A415" s="1" t="s">
        <v>1440</v>
      </c>
      <c r="B415" s="43" t="s">
        <v>615</v>
      </c>
      <c r="C415" s="46" t="s">
        <v>39</v>
      </c>
      <c r="D415" s="44" t="s">
        <v>623</v>
      </c>
      <c r="E415" s="34">
        <v>4666</v>
      </c>
      <c r="F415" s="46" t="s">
        <v>633</v>
      </c>
      <c r="G415" s="35">
        <v>99000</v>
      </c>
      <c r="H415" s="40">
        <v>99000</v>
      </c>
    </row>
    <row r="416" spans="1:8" s="15" customFormat="1" ht="27.95" customHeight="1" x14ac:dyDescent="0.2">
      <c r="A416" s="1" t="s">
        <v>1440</v>
      </c>
      <c r="B416" s="43" t="s">
        <v>766</v>
      </c>
      <c r="C416" s="46" t="s">
        <v>26</v>
      </c>
      <c r="D416" s="44" t="s">
        <v>792</v>
      </c>
      <c r="E416" s="47" t="s">
        <v>41</v>
      </c>
      <c r="F416" s="46" t="s">
        <v>780</v>
      </c>
      <c r="G416" s="35">
        <v>99000</v>
      </c>
      <c r="H416" s="40">
        <v>99000</v>
      </c>
    </row>
    <row r="417" spans="1:8" s="15" customFormat="1" ht="27.95" customHeight="1" x14ac:dyDescent="0.2">
      <c r="A417" s="1" t="s">
        <v>1440</v>
      </c>
      <c r="B417" s="43" t="s">
        <v>773</v>
      </c>
      <c r="C417" s="46" t="s">
        <v>26</v>
      </c>
      <c r="D417" s="44" t="s">
        <v>798</v>
      </c>
      <c r="E417" s="47" t="s">
        <v>41</v>
      </c>
      <c r="F417" s="46" t="s">
        <v>785</v>
      </c>
      <c r="G417" s="35">
        <v>99000</v>
      </c>
      <c r="H417" s="40">
        <v>99000</v>
      </c>
    </row>
    <row r="418" spans="1:8" s="15" customFormat="1" ht="27.95" customHeight="1" x14ac:dyDescent="0.2">
      <c r="A418" s="1" t="s">
        <v>1440</v>
      </c>
      <c r="B418" s="43" t="s">
        <v>815</v>
      </c>
      <c r="C418" s="46" t="s">
        <v>17</v>
      </c>
      <c r="D418" s="44" t="s">
        <v>839</v>
      </c>
      <c r="E418" s="34">
        <v>4110</v>
      </c>
      <c r="F418" s="46" t="s">
        <v>859</v>
      </c>
      <c r="G418" s="35">
        <f>33000*3</f>
        <v>99000</v>
      </c>
      <c r="H418" s="40">
        <f>33000*3</f>
        <v>99000</v>
      </c>
    </row>
    <row r="419" spans="1:8" s="15" customFormat="1" ht="27.95" customHeight="1" x14ac:dyDescent="0.2">
      <c r="A419" s="1" t="s">
        <v>1440</v>
      </c>
      <c r="B419" s="43" t="s">
        <v>938</v>
      </c>
      <c r="C419" s="46" t="s">
        <v>26</v>
      </c>
      <c r="D419" s="44" t="s">
        <v>945</v>
      </c>
      <c r="E419" s="47" t="s">
        <v>41</v>
      </c>
      <c r="F419" s="46" t="s">
        <v>951</v>
      </c>
      <c r="G419" s="35">
        <v>99000</v>
      </c>
      <c r="H419" s="40">
        <v>99000</v>
      </c>
    </row>
    <row r="420" spans="1:8" s="15" customFormat="1" ht="27.95" customHeight="1" x14ac:dyDescent="0.2">
      <c r="A420" s="1" t="s">
        <v>1440</v>
      </c>
      <c r="B420" s="43" t="s">
        <v>1038</v>
      </c>
      <c r="C420" s="46" t="s">
        <v>17</v>
      </c>
      <c r="D420" s="44" t="s">
        <v>839</v>
      </c>
      <c r="E420" s="34">
        <v>4851</v>
      </c>
      <c r="F420" s="46" t="s">
        <v>1045</v>
      </c>
      <c r="G420" s="35">
        <f>33000*3</f>
        <v>99000</v>
      </c>
      <c r="H420" s="40">
        <v>33000</v>
      </c>
    </row>
    <row r="421" spans="1:8" s="15" customFormat="1" ht="27.95" customHeight="1" x14ac:dyDescent="0.2">
      <c r="A421" s="1" t="s">
        <v>1440</v>
      </c>
      <c r="B421" s="43" t="s">
        <v>1144</v>
      </c>
      <c r="C421" s="46" t="s">
        <v>1150</v>
      </c>
      <c r="D421" s="44" t="s">
        <v>1151</v>
      </c>
      <c r="E421" s="34">
        <v>4838</v>
      </c>
      <c r="F421" s="46" t="s">
        <v>1154</v>
      </c>
      <c r="G421" s="35">
        <v>99000</v>
      </c>
      <c r="H421" s="40">
        <v>99000</v>
      </c>
    </row>
    <row r="422" spans="1:8" s="15" customFormat="1" ht="27.95" customHeight="1" x14ac:dyDescent="0.2">
      <c r="A422" s="1" t="s">
        <v>1440</v>
      </c>
      <c r="B422" s="43" t="s">
        <v>1278</v>
      </c>
      <c r="C422" s="46" t="s">
        <v>26</v>
      </c>
      <c r="D422" s="44" t="s">
        <v>622</v>
      </c>
      <c r="E422" s="47" t="s">
        <v>41</v>
      </c>
      <c r="F422" s="46" t="s">
        <v>1280</v>
      </c>
      <c r="G422" s="35">
        <v>99000</v>
      </c>
      <c r="H422" s="40">
        <v>99000</v>
      </c>
    </row>
    <row r="423" spans="1:8" s="15" customFormat="1" ht="27.95" customHeight="1" x14ac:dyDescent="0.2">
      <c r="A423" s="1" t="s">
        <v>1440</v>
      </c>
      <c r="B423" s="43" t="s">
        <v>1427</v>
      </c>
      <c r="C423" s="46" t="s">
        <v>18</v>
      </c>
      <c r="D423" s="44" t="s">
        <v>1429</v>
      </c>
      <c r="E423" s="47" t="s">
        <v>41</v>
      </c>
      <c r="F423" s="46" t="s">
        <v>1431</v>
      </c>
      <c r="G423" s="35">
        <v>99000</v>
      </c>
      <c r="H423" s="40">
        <v>95000</v>
      </c>
    </row>
    <row r="424" spans="1:8" s="15" customFormat="1" ht="27.95" customHeight="1" x14ac:dyDescent="0.2">
      <c r="A424" s="1" t="s">
        <v>1440</v>
      </c>
      <c r="B424" s="43" t="s">
        <v>134</v>
      </c>
      <c r="C424" s="46" t="s">
        <v>39</v>
      </c>
      <c r="D424" s="44" t="s">
        <v>142</v>
      </c>
      <c r="E424" s="34">
        <v>3727</v>
      </c>
      <c r="F424" s="46" t="s">
        <v>138</v>
      </c>
      <c r="G424" s="35">
        <v>99064</v>
      </c>
      <c r="H424" s="40">
        <v>99064</v>
      </c>
    </row>
    <row r="425" spans="1:8" s="15" customFormat="1" ht="27.95" customHeight="1" x14ac:dyDescent="0.2">
      <c r="A425" s="1" t="s">
        <v>1440</v>
      </c>
      <c r="B425" s="43" t="s">
        <v>1283</v>
      </c>
      <c r="C425" s="46" t="s">
        <v>39</v>
      </c>
      <c r="D425" s="44" t="s">
        <v>1285</v>
      </c>
      <c r="E425" s="47">
        <v>5962</v>
      </c>
      <c r="F425" s="46" t="s">
        <v>1287</v>
      </c>
      <c r="G425" s="35">
        <v>99299</v>
      </c>
      <c r="H425" s="40">
        <v>99299</v>
      </c>
    </row>
    <row r="426" spans="1:8" s="15" customFormat="1" ht="27.95" customHeight="1" x14ac:dyDescent="0.2">
      <c r="A426" s="1" t="s">
        <v>1440</v>
      </c>
      <c r="B426" s="43" t="s">
        <v>722</v>
      </c>
      <c r="C426" s="46" t="s">
        <v>17</v>
      </c>
      <c r="D426" s="44" t="s">
        <v>735</v>
      </c>
      <c r="E426" s="34">
        <v>4514</v>
      </c>
      <c r="F426" s="46" t="s">
        <v>727</v>
      </c>
      <c r="G426" s="35">
        <v>99484</v>
      </c>
      <c r="H426" s="40">
        <v>99484</v>
      </c>
    </row>
    <row r="427" spans="1:8" s="15" customFormat="1" ht="27.95" customHeight="1" x14ac:dyDescent="0.2">
      <c r="A427" s="1" t="s">
        <v>1440</v>
      </c>
      <c r="B427" s="43" t="s">
        <v>1367</v>
      </c>
      <c r="C427" s="46" t="s">
        <v>39</v>
      </c>
      <c r="D427" s="44" t="s">
        <v>1369</v>
      </c>
      <c r="E427" s="34">
        <v>6223</v>
      </c>
      <c r="F427" s="46" t="s">
        <v>1372</v>
      </c>
      <c r="G427" s="35">
        <v>99500</v>
      </c>
      <c r="H427" s="40">
        <v>99500</v>
      </c>
    </row>
    <row r="428" spans="1:8" s="15" customFormat="1" ht="27.95" customHeight="1" x14ac:dyDescent="0.2">
      <c r="A428" s="1" t="s">
        <v>1440</v>
      </c>
      <c r="B428" s="43" t="s">
        <v>1411</v>
      </c>
      <c r="C428" s="46" t="s">
        <v>76</v>
      </c>
      <c r="D428" s="44" t="s">
        <v>1413</v>
      </c>
      <c r="E428" s="34">
        <v>6295</v>
      </c>
      <c r="F428" s="46" t="s">
        <v>1416</v>
      </c>
      <c r="G428" s="35">
        <v>99500</v>
      </c>
      <c r="H428" s="40">
        <v>99500</v>
      </c>
    </row>
    <row r="429" spans="1:8" s="15" customFormat="1" ht="27.95" customHeight="1" x14ac:dyDescent="0.2">
      <c r="A429" s="1" t="s">
        <v>1440</v>
      </c>
      <c r="B429" s="43" t="s">
        <v>717</v>
      </c>
      <c r="C429" s="46" t="s">
        <v>49</v>
      </c>
      <c r="D429" s="44" t="s">
        <v>730</v>
      </c>
      <c r="E429" s="34">
        <v>4800</v>
      </c>
      <c r="F429" s="46" t="s">
        <v>726</v>
      </c>
      <c r="G429" s="35">
        <v>99600</v>
      </c>
      <c r="H429" s="40">
        <v>99600</v>
      </c>
    </row>
    <row r="430" spans="1:8" s="15" customFormat="1" ht="27.95" customHeight="1" x14ac:dyDescent="0.2">
      <c r="A430" s="1" t="s">
        <v>1440</v>
      </c>
      <c r="B430" s="43" t="s">
        <v>146</v>
      </c>
      <c r="C430" s="46" t="s">
        <v>20</v>
      </c>
      <c r="D430" s="44" t="s">
        <v>204</v>
      </c>
      <c r="E430" s="47">
        <v>3793</v>
      </c>
      <c r="F430" s="46" t="s">
        <v>175</v>
      </c>
      <c r="G430" s="35">
        <f>35000*3</f>
        <v>105000</v>
      </c>
      <c r="H430" s="40">
        <f>35000*3</f>
        <v>105000</v>
      </c>
    </row>
    <row r="431" spans="1:8" s="15" customFormat="1" ht="27.95" customHeight="1" x14ac:dyDescent="0.2">
      <c r="A431" s="1" t="s">
        <v>1440</v>
      </c>
      <c r="B431" s="43" t="s">
        <v>148</v>
      </c>
      <c r="C431" s="46" t="s">
        <v>20</v>
      </c>
      <c r="D431" s="44" t="s">
        <v>122</v>
      </c>
      <c r="E431" s="47">
        <v>3799</v>
      </c>
      <c r="F431" s="46" t="s">
        <v>177</v>
      </c>
      <c r="G431" s="35">
        <f>35000*3</f>
        <v>105000</v>
      </c>
      <c r="H431" s="40">
        <f>35000*3</f>
        <v>105000</v>
      </c>
    </row>
    <row r="432" spans="1:8" s="15" customFormat="1" ht="27.95" customHeight="1" x14ac:dyDescent="0.2">
      <c r="A432" s="1" t="s">
        <v>1440</v>
      </c>
      <c r="B432" s="43" t="s">
        <v>155</v>
      </c>
      <c r="C432" s="46" t="s">
        <v>17</v>
      </c>
      <c r="D432" s="44" t="s">
        <v>208</v>
      </c>
      <c r="E432" s="47">
        <v>3944</v>
      </c>
      <c r="F432" s="46" t="s">
        <v>183</v>
      </c>
      <c r="G432" s="35">
        <f>35000*3</f>
        <v>105000</v>
      </c>
      <c r="H432" s="40">
        <f>35000*3</f>
        <v>105000</v>
      </c>
    </row>
    <row r="433" spans="1:8" s="15" customFormat="1" ht="27.95" customHeight="1" x14ac:dyDescent="0.2">
      <c r="A433" s="1" t="s">
        <v>1440</v>
      </c>
      <c r="B433" s="43" t="s">
        <v>802</v>
      </c>
      <c r="C433" s="46" t="s">
        <v>825</v>
      </c>
      <c r="D433" s="44" t="s">
        <v>826</v>
      </c>
      <c r="E433" s="34">
        <v>4065</v>
      </c>
      <c r="F433" s="46" t="s">
        <v>848</v>
      </c>
      <c r="G433" s="35">
        <f>35000*3</f>
        <v>105000</v>
      </c>
      <c r="H433" s="40">
        <f>35000*3</f>
        <v>105000</v>
      </c>
    </row>
    <row r="434" spans="1:8" s="15" customFormat="1" ht="27.95" customHeight="1" x14ac:dyDescent="0.2">
      <c r="A434" s="1" t="s">
        <v>1440</v>
      </c>
      <c r="B434" s="43" t="s">
        <v>803</v>
      </c>
      <c r="C434" s="46" t="s">
        <v>825</v>
      </c>
      <c r="D434" s="44" t="s">
        <v>827</v>
      </c>
      <c r="E434" s="34">
        <v>4067</v>
      </c>
      <c r="F434" s="46" t="s">
        <v>849</v>
      </c>
      <c r="G434" s="35">
        <f>35000*3</f>
        <v>105000</v>
      </c>
      <c r="H434" s="40">
        <f>35000*3</f>
        <v>105000</v>
      </c>
    </row>
    <row r="435" spans="1:8" s="15" customFormat="1" ht="27.95" customHeight="1" x14ac:dyDescent="0.2">
      <c r="A435" s="1" t="s">
        <v>1440</v>
      </c>
      <c r="B435" s="43" t="s">
        <v>822</v>
      </c>
      <c r="C435" s="46" t="s">
        <v>825</v>
      </c>
      <c r="D435" s="44" t="s">
        <v>845</v>
      </c>
      <c r="E435" s="34">
        <v>4944</v>
      </c>
      <c r="F435" s="46" t="s">
        <v>864</v>
      </c>
      <c r="G435" s="35">
        <f>35000*3</f>
        <v>105000</v>
      </c>
      <c r="H435" s="40">
        <f>35000*3</f>
        <v>105000</v>
      </c>
    </row>
    <row r="436" spans="1:8" s="15" customFormat="1" ht="27.95" customHeight="1" x14ac:dyDescent="0.2">
      <c r="A436" s="1" t="s">
        <v>1440</v>
      </c>
      <c r="B436" s="43" t="s">
        <v>1211</v>
      </c>
      <c r="C436" s="46" t="s">
        <v>40</v>
      </c>
      <c r="D436" s="44" t="s">
        <v>1214</v>
      </c>
      <c r="E436" s="34">
        <v>3554</v>
      </c>
      <c r="F436" s="46" t="s">
        <v>1219</v>
      </c>
      <c r="G436" s="35">
        <f>36000*3</f>
        <v>108000</v>
      </c>
      <c r="H436" s="40">
        <f>36000*3</f>
        <v>108000</v>
      </c>
    </row>
    <row r="437" spans="1:8" s="15" customFormat="1" ht="27.95" customHeight="1" x14ac:dyDescent="0.2">
      <c r="A437" s="1" t="s">
        <v>1440</v>
      </c>
      <c r="B437" s="43" t="s">
        <v>1246</v>
      </c>
      <c r="C437" s="46" t="s">
        <v>20</v>
      </c>
      <c r="D437" s="44" t="s">
        <v>122</v>
      </c>
      <c r="E437" s="47">
        <v>3795</v>
      </c>
      <c r="F437" s="46" t="s">
        <v>1237</v>
      </c>
      <c r="G437" s="35">
        <f>37500*3</f>
        <v>112500</v>
      </c>
      <c r="H437" s="40">
        <f>37500*3</f>
        <v>112500</v>
      </c>
    </row>
    <row r="438" spans="1:8" s="15" customFormat="1" ht="27.95" customHeight="1" x14ac:dyDescent="0.2">
      <c r="A438" s="1" t="s">
        <v>1440</v>
      </c>
      <c r="B438" s="43" t="s">
        <v>297</v>
      </c>
      <c r="C438" s="46" t="s">
        <v>40</v>
      </c>
      <c r="D438" s="44" t="s">
        <v>56</v>
      </c>
      <c r="E438" s="34">
        <v>4131</v>
      </c>
      <c r="F438" s="46" t="s">
        <v>311</v>
      </c>
      <c r="G438" s="35">
        <f>39000*3</f>
        <v>117000</v>
      </c>
      <c r="H438" s="40">
        <f>39000*3</f>
        <v>117000</v>
      </c>
    </row>
    <row r="439" spans="1:8" s="15" customFormat="1" ht="27.95" customHeight="1" x14ac:dyDescent="0.2">
      <c r="A439" s="1" t="s">
        <v>1440</v>
      </c>
      <c r="B439" s="43" t="s">
        <v>394</v>
      </c>
      <c r="C439" s="46" t="s">
        <v>92</v>
      </c>
      <c r="D439" s="44" t="s">
        <v>409</v>
      </c>
      <c r="E439" s="34">
        <v>3951</v>
      </c>
      <c r="F439" s="46" t="s">
        <v>425</v>
      </c>
      <c r="G439" s="35">
        <f>40000*3</f>
        <v>120000</v>
      </c>
      <c r="H439" s="40">
        <f>40000*3</f>
        <v>120000</v>
      </c>
    </row>
    <row r="440" spans="1:8" s="15" customFormat="1" ht="27.95" customHeight="1" x14ac:dyDescent="0.2">
      <c r="A440" s="1" t="s">
        <v>1440</v>
      </c>
      <c r="B440" s="43" t="s">
        <v>445</v>
      </c>
      <c r="C440" s="46" t="s">
        <v>17</v>
      </c>
      <c r="D440" s="44" t="s">
        <v>116</v>
      </c>
      <c r="E440" s="47">
        <v>4311</v>
      </c>
      <c r="F440" s="46" t="s">
        <v>471</v>
      </c>
      <c r="G440" s="35">
        <f>40000*3</f>
        <v>120000</v>
      </c>
      <c r="H440" s="40">
        <f>40000*3</f>
        <v>120000</v>
      </c>
    </row>
    <row r="441" spans="1:8" s="15" customFormat="1" ht="27.95" customHeight="1" x14ac:dyDescent="0.2">
      <c r="A441" s="1" t="s">
        <v>1440</v>
      </c>
      <c r="B441" s="43" t="s">
        <v>481</v>
      </c>
      <c r="C441" s="46" t="s">
        <v>46</v>
      </c>
      <c r="D441" s="44" t="s">
        <v>1000</v>
      </c>
      <c r="E441" s="47">
        <v>4401</v>
      </c>
      <c r="F441" s="46" t="s">
        <v>507</v>
      </c>
      <c r="G441" s="35">
        <f>40000*3</f>
        <v>120000</v>
      </c>
      <c r="H441" s="40">
        <f>40000*3</f>
        <v>120000</v>
      </c>
    </row>
    <row r="442" spans="1:8" s="15" customFormat="1" ht="27.95" customHeight="1" x14ac:dyDescent="0.2">
      <c r="A442" s="1" t="s">
        <v>1440</v>
      </c>
      <c r="B442" s="43" t="s">
        <v>482</v>
      </c>
      <c r="C442" s="46" t="s">
        <v>46</v>
      </c>
      <c r="D442" s="44" t="s">
        <v>22</v>
      </c>
      <c r="E442" s="47">
        <v>4402</v>
      </c>
      <c r="F442" s="46" t="s">
        <v>508</v>
      </c>
      <c r="G442" s="35">
        <f>40000*3</f>
        <v>120000</v>
      </c>
      <c r="H442" s="40">
        <f>40000*3</f>
        <v>120000</v>
      </c>
    </row>
    <row r="443" spans="1:8" s="15" customFormat="1" ht="27.95" customHeight="1" x14ac:dyDescent="0.2">
      <c r="A443" s="1" t="s">
        <v>1440</v>
      </c>
      <c r="B443" s="43" t="s">
        <v>690</v>
      </c>
      <c r="C443" s="46" t="s">
        <v>76</v>
      </c>
      <c r="D443" s="44" t="s">
        <v>707</v>
      </c>
      <c r="E443" s="34">
        <v>4703</v>
      </c>
      <c r="F443" s="46" t="s">
        <v>699</v>
      </c>
      <c r="G443" s="35">
        <f>42222*3</f>
        <v>126666</v>
      </c>
      <c r="H443" s="40">
        <f>42222*3</f>
        <v>126666</v>
      </c>
    </row>
    <row r="444" spans="1:8" s="15" customFormat="1" ht="27.95" customHeight="1" x14ac:dyDescent="0.2">
      <c r="A444" s="1" t="s">
        <v>1440</v>
      </c>
      <c r="B444" s="43" t="s">
        <v>301</v>
      </c>
      <c r="C444" s="46" t="s">
        <v>47</v>
      </c>
      <c r="D444" s="44" t="s">
        <v>308</v>
      </c>
      <c r="E444" s="34">
        <v>3875</v>
      </c>
      <c r="F444" s="46" t="s">
        <v>62</v>
      </c>
      <c r="G444" s="35">
        <f>45000*3</f>
        <v>135000</v>
      </c>
      <c r="H444" s="40">
        <f>45000*3</f>
        <v>135000</v>
      </c>
    </row>
    <row r="445" spans="1:8" s="15" customFormat="1" ht="27.95" customHeight="1" x14ac:dyDescent="0.2">
      <c r="A445" s="1" t="s">
        <v>1440</v>
      </c>
      <c r="B445" s="43" t="s">
        <v>1189</v>
      </c>
      <c r="C445" s="46" t="s">
        <v>47</v>
      </c>
      <c r="D445" s="44" t="s">
        <v>1194</v>
      </c>
      <c r="E445" s="34">
        <v>5724</v>
      </c>
      <c r="F445" s="46" t="s">
        <v>1204</v>
      </c>
      <c r="G445" s="35">
        <f>45000*3</f>
        <v>135000</v>
      </c>
      <c r="H445" s="40">
        <f>45000*3</f>
        <v>135000</v>
      </c>
    </row>
    <row r="446" spans="1:8" s="15" customFormat="1" ht="27.95" customHeight="1" x14ac:dyDescent="0.2">
      <c r="A446" s="1" t="s">
        <v>1440</v>
      </c>
      <c r="B446" s="43" t="s">
        <v>1388</v>
      </c>
      <c r="C446" s="46" t="s">
        <v>49</v>
      </c>
      <c r="D446" s="44" t="s">
        <v>1395</v>
      </c>
      <c r="E446" s="47">
        <v>6192</v>
      </c>
      <c r="F446" s="46" t="s">
        <v>1404</v>
      </c>
      <c r="G446" s="35">
        <f>45000*3</f>
        <v>135000</v>
      </c>
      <c r="H446" s="40">
        <f>45000*3</f>
        <v>135000</v>
      </c>
    </row>
    <row r="447" spans="1:8" s="15" customFormat="1" ht="27.95" customHeight="1" x14ac:dyDescent="0.2">
      <c r="A447" s="1" t="s">
        <v>1440</v>
      </c>
      <c r="B447" s="43" t="s">
        <v>1047</v>
      </c>
      <c r="C447" s="46" t="s">
        <v>46</v>
      </c>
      <c r="D447" s="44" t="s">
        <v>1052</v>
      </c>
      <c r="E447" s="34">
        <v>5223</v>
      </c>
      <c r="F447" s="46" t="s">
        <v>1057</v>
      </c>
      <c r="G447" s="35">
        <f>46800*3</f>
        <v>140400</v>
      </c>
      <c r="H447" s="40">
        <f>46800*3</f>
        <v>140400</v>
      </c>
    </row>
    <row r="448" spans="1:8" s="15" customFormat="1" ht="27.95" customHeight="1" x14ac:dyDescent="0.2">
      <c r="A448" s="1" t="s">
        <v>1440</v>
      </c>
      <c r="B448" s="43" t="s">
        <v>686</v>
      </c>
      <c r="C448" s="46" t="s">
        <v>687</v>
      </c>
      <c r="D448" s="44" t="s">
        <v>689</v>
      </c>
      <c r="E448" s="34">
        <v>4369</v>
      </c>
      <c r="F448" s="46" t="s">
        <v>685</v>
      </c>
      <c r="G448" s="35">
        <f>93699+46850</f>
        <v>140549</v>
      </c>
      <c r="H448" s="40">
        <f>93699+46850</f>
        <v>140549</v>
      </c>
    </row>
    <row r="449" spans="1:8" s="15" customFormat="1" ht="27.95" customHeight="1" x14ac:dyDescent="0.2">
      <c r="A449" s="1" t="s">
        <v>1440</v>
      </c>
      <c r="B449" s="43" t="s">
        <v>901</v>
      </c>
      <c r="C449" s="46" t="s">
        <v>39</v>
      </c>
      <c r="D449" s="44" t="s">
        <v>908</v>
      </c>
      <c r="E449" s="34">
        <v>5110</v>
      </c>
      <c r="F449" s="46" t="s">
        <v>918</v>
      </c>
      <c r="G449" s="35">
        <f>47819*3</f>
        <v>143457</v>
      </c>
      <c r="H449" s="40">
        <f>47819*3</f>
        <v>143457</v>
      </c>
    </row>
    <row r="450" spans="1:8" s="15" customFormat="1" ht="27.95" customHeight="1" x14ac:dyDescent="0.2">
      <c r="A450" s="1" t="s">
        <v>1440</v>
      </c>
      <c r="B450" s="43" t="s">
        <v>819</v>
      </c>
      <c r="C450" s="46" t="s">
        <v>825</v>
      </c>
      <c r="D450" s="44" t="s">
        <v>98</v>
      </c>
      <c r="E450" s="34">
        <v>4897</v>
      </c>
      <c r="F450" s="46" t="s">
        <v>865</v>
      </c>
      <c r="G450" s="35">
        <f>48000*3</f>
        <v>144000</v>
      </c>
      <c r="H450" s="40">
        <f>48000*3</f>
        <v>144000</v>
      </c>
    </row>
    <row r="451" spans="1:8" s="15" customFormat="1" ht="27.95" customHeight="1" x14ac:dyDescent="0.2">
      <c r="A451" s="1" t="s">
        <v>1440</v>
      </c>
      <c r="B451" s="43" t="s">
        <v>1252</v>
      </c>
      <c r="C451" s="46" t="s">
        <v>48</v>
      </c>
      <c r="D451" s="44" t="s">
        <v>1232</v>
      </c>
      <c r="E451" s="47">
        <v>5814</v>
      </c>
      <c r="F451" s="46" t="s">
        <v>1242</v>
      </c>
      <c r="G451" s="35">
        <f>48750*3</f>
        <v>146250</v>
      </c>
      <c r="H451" s="40">
        <f>48750*3</f>
        <v>146250</v>
      </c>
    </row>
    <row r="452" spans="1:8" s="15" customFormat="1" ht="27.95" customHeight="1" x14ac:dyDescent="0.2">
      <c r="A452" s="1" t="s">
        <v>1440</v>
      </c>
      <c r="B452" s="43" t="s">
        <v>486</v>
      </c>
      <c r="C452" s="46" t="s">
        <v>46</v>
      </c>
      <c r="D452" s="44" t="s">
        <v>113</v>
      </c>
      <c r="E452" s="47">
        <v>4411</v>
      </c>
      <c r="F452" s="46" t="s">
        <v>512</v>
      </c>
      <c r="G452" s="35">
        <f>49000*3</f>
        <v>147000</v>
      </c>
      <c r="H452" s="40">
        <f>49000*3</f>
        <v>147000</v>
      </c>
    </row>
    <row r="453" spans="1:8" s="15" customFormat="1" ht="27.95" customHeight="1" x14ac:dyDescent="0.2">
      <c r="A453" s="1" t="s">
        <v>1440</v>
      </c>
      <c r="B453" s="43" t="s">
        <v>1135</v>
      </c>
      <c r="C453" s="46" t="s">
        <v>39</v>
      </c>
      <c r="D453" s="44" t="s">
        <v>230</v>
      </c>
      <c r="E453" s="34">
        <v>5606</v>
      </c>
      <c r="F453" s="46" t="s">
        <v>1142</v>
      </c>
      <c r="G453" s="35">
        <f>49790*3</f>
        <v>149370</v>
      </c>
      <c r="H453" s="40">
        <f>49790*3</f>
        <v>149370</v>
      </c>
    </row>
    <row r="454" spans="1:8" s="15" customFormat="1" ht="27.95" customHeight="1" x14ac:dyDescent="0.2">
      <c r="A454" s="1" t="s">
        <v>1440</v>
      </c>
      <c r="B454" s="43" t="s">
        <v>603</v>
      </c>
      <c r="C454" s="46" t="s">
        <v>46</v>
      </c>
      <c r="D454" s="44" t="s">
        <v>666</v>
      </c>
      <c r="E454" s="34">
        <v>4503</v>
      </c>
      <c r="F454" s="46" t="s">
        <v>671</v>
      </c>
      <c r="G454" s="35">
        <f>50000*3</f>
        <v>150000</v>
      </c>
      <c r="H454" s="40">
        <f>50000*3</f>
        <v>150000</v>
      </c>
    </row>
    <row r="455" spans="1:8" s="15" customFormat="1" ht="27.95" customHeight="1" x14ac:dyDescent="0.2">
      <c r="A455" s="1" t="s">
        <v>1440</v>
      </c>
      <c r="B455" s="43" t="s">
        <v>616</v>
      </c>
      <c r="C455" s="46" t="s">
        <v>17</v>
      </c>
      <c r="D455" s="44" t="s">
        <v>624</v>
      </c>
      <c r="E455" s="34">
        <v>4114</v>
      </c>
      <c r="F455" s="46" t="s">
        <v>634</v>
      </c>
      <c r="G455" s="35">
        <f>50000*3</f>
        <v>150000</v>
      </c>
      <c r="H455" s="40">
        <f>50000*3</f>
        <v>150000</v>
      </c>
    </row>
    <row r="456" spans="1:8" s="15" customFormat="1" ht="27.95" customHeight="1" x14ac:dyDescent="0.2">
      <c r="A456" s="1" t="s">
        <v>1440</v>
      </c>
      <c r="B456" s="43" t="s">
        <v>770</v>
      </c>
      <c r="C456" s="46" t="s">
        <v>17</v>
      </c>
      <c r="D456" s="44" t="s">
        <v>795</v>
      </c>
      <c r="E456" s="34">
        <v>4332</v>
      </c>
      <c r="F456" s="46" t="s">
        <v>782</v>
      </c>
      <c r="G456" s="35">
        <f>50000*3</f>
        <v>150000</v>
      </c>
      <c r="H456" s="40">
        <f>50000*3</f>
        <v>150000</v>
      </c>
    </row>
    <row r="457" spans="1:8" s="15" customFormat="1" ht="27.95" customHeight="1" x14ac:dyDescent="0.2">
      <c r="A457" s="1" t="s">
        <v>1440</v>
      </c>
      <c r="B457" s="43" t="s">
        <v>524</v>
      </c>
      <c r="C457" s="46" t="s">
        <v>17</v>
      </c>
      <c r="D457" s="44" t="s">
        <v>118</v>
      </c>
      <c r="E457" s="47">
        <v>4309</v>
      </c>
      <c r="F457" s="46" t="s">
        <v>531</v>
      </c>
      <c r="G457" s="35">
        <f>52358*3</f>
        <v>157074</v>
      </c>
      <c r="H457" s="40">
        <f>52358*3</f>
        <v>157074</v>
      </c>
    </row>
    <row r="458" spans="1:8" s="15" customFormat="1" ht="27.95" customHeight="1" x14ac:dyDescent="0.2">
      <c r="A458" s="1" t="s">
        <v>1440</v>
      </c>
      <c r="B458" s="43" t="s">
        <v>250</v>
      </c>
      <c r="C458" s="46" t="s">
        <v>21</v>
      </c>
      <c r="D458" s="44" t="s">
        <v>283</v>
      </c>
      <c r="E458" s="34">
        <v>4048</v>
      </c>
      <c r="F458" s="46" t="s">
        <v>268</v>
      </c>
      <c r="G458" s="35">
        <f>80770*2</f>
        <v>161540</v>
      </c>
      <c r="H458" s="40">
        <f>80770*2</f>
        <v>161540</v>
      </c>
    </row>
    <row r="459" spans="1:8" s="15" customFormat="1" ht="27.95" customHeight="1" x14ac:dyDescent="0.2">
      <c r="A459" s="1" t="s">
        <v>1440</v>
      </c>
      <c r="B459" s="43" t="s">
        <v>774</v>
      </c>
      <c r="C459" s="46" t="s">
        <v>17</v>
      </c>
      <c r="D459" s="44" t="s">
        <v>799</v>
      </c>
      <c r="E459" s="34">
        <v>4166</v>
      </c>
      <c r="F459" s="46" t="s">
        <v>786</v>
      </c>
      <c r="G459" s="35">
        <f>55000*3</f>
        <v>165000</v>
      </c>
      <c r="H459" s="40">
        <f>50000*3</f>
        <v>150000</v>
      </c>
    </row>
    <row r="460" spans="1:8" s="15" customFormat="1" ht="27.95" customHeight="1" x14ac:dyDescent="0.2">
      <c r="A460" s="1" t="s">
        <v>1440</v>
      </c>
      <c r="B460" s="43" t="s">
        <v>1146</v>
      </c>
      <c r="C460" s="46" t="s">
        <v>825</v>
      </c>
      <c r="D460" s="44" t="s">
        <v>845</v>
      </c>
      <c r="E460" s="34">
        <v>5573</v>
      </c>
      <c r="F460" s="46" t="s">
        <v>1158</v>
      </c>
      <c r="G460" s="35">
        <f>55000+55000+55000</f>
        <v>165000</v>
      </c>
      <c r="H460" s="40">
        <f>35000</f>
        <v>35000</v>
      </c>
    </row>
    <row r="461" spans="1:8" s="15" customFormat="1" ht="27.95" customHeight="1" x14ac:dyDescent="0.2">
      <c r="A461" s="1" t="s">
        <v>1440</v>
      </c>
      <c r="B461" s="43" t="s">
        <v>1148</v>
      </c>
      <c r="C461" s="46" t="s">
        <v>39</v>
      </c>
      <c r="D461" s="44" t="s">
        <v>230</v>
      </c>
      <c r="E461" s="34">
        <v>5605</v>
      </c>
      <c r="F461" s="46" t="s">
        <v>1156</v>
      </c>
      <c r="G461" s="35">
        <f>59833*3</f>
        <v>179499</v>
      </c>
      <c r="H461" s="40">
        <f>59833*3</f>
        <v>179499</v>
      </c>
    </row>
    <row r="462" spans="1:8" s="15" customFormat="1" ht="27.95" customHeight="1" x14ac:dyDescent="0.2">
      <c r="A462" s="1" t="s">
        <v>1440</v>
      </c>
      <c r="B462" s="43" t="s">
        <v>249</v>
      </c>
      <c r="C462" s="46" t="s">
        <v>17</v>
      </c>
      <c r="D462" s="44" t="s">
        <v>282</v>
      </c>
      <c r="E462" s="34">
        <v>4047</v>
      </c>
      <c r="F462" s="46" t="s">
        <v>267</v>
      </c>
      <c r="G462" s="35">
        <f>60000*3</f>
        <v>180000</v>
      </c>
      <c r="H462" s="40">
        <f>60000*3</f>
        <v>180000</v>
      </c>
    </row>
    <row r="463" spans="1:8" s="15" customFormat="1" ht="27.95" customHeight="1" x14ac:dyDescent="0.2">
      <c r="A463" s="1" t="s">
        <v>1440</v>
      </c>
      <c r="B463" s="43" t="s">
        <v>251</v>
      </c>
      <c r="C463" s="46" t="s">
        <v>17</v>
      </c>
      <c r="D463" s="44" t="s">
        <v>284</v>
      </c>
      <c r="E463" s="34">
        <v>4066</v>
      </c>
      <c r="F463" s="46" t="s">
        <v>267</v>
      </c>
      <c r="G463" s="35">
        <f>60000*3</f>
        <v>180000</v>
      </c>
      <c r="H463" s="40">
        <f>60000*3</f>
        <v>180000</v>
      </c>
    </row>
    <row r="464" spans="1:8" s="15" customFormat="1" ht="27.95" customHeight="1" x14ac:dyDescent="0.2">
      <c r="A464" s="1" t="s">
        <v>1440</v>
      </c>
      <c r="B464" s="43" t="s">
        <v>252</v>
      </c>
      <c r="C464" s="46" t="s">
        <v>17</v>
      </c>
      <c r="D464" s="44" t="s">
        <v>285</v>
      </c>
      <c r="E464" s="34">
        <v>4068</v>
      </c>
      <c r="F464" s="46" t="s">
        <v>267</v>
      </c>
      <c r="G464" s="35">
        <f>60000*3</f>
        <v>180000</v>
      </c>
      <c r="H464" s="40">
        <f>60000*3</f>
        <v>180000</v>
      </c>
    </row>
    <row r="465" spans="1:8" s="15" customFormat="1" ht="27.95" customHeight="1" x14ac:dyDescent="0.2">
      <c r="A465" s="1" t="s">
        <v>1440</v>
      </c>
      <c r="B465" s="43" t="s">
        <v>521</v>
      </c>
      <c r="C465" s="46" t="s">
        <v>17</v>
      </c>
      <c r="D465" s="44" t="s">
        <v>526</v>
      </c>
      <c r="E465" s="47">
        <v>4331</v>
      </c>
      <c r="F465" s="46" t="s">
        <v>528</v>
      </c>
      <c r="G465" s="35">
        <f>60000*3</f>
        <v>180000</v>
      </c>
      <c r="H465" s="40">
        <f>60000*3</f>
        <v>180000</v>
      </c>
    </row>
    <row r="466" spans="1:8" s="15" customFormat="1" ht="27.95" customHeight="1" x14ac:dyDescent="0.2">
      <c r="A466" s="1" t="s">
        <v>1440</v>
      </c>
      <c r="B466" s="43" t="s">
        <v>654</v>
      </c>
      <c r="C466" s="46" t="s">
        <v>17</v>
      </c>
      <c r="D466" s="44" t="s">
        <v>667</v>
      </c>
      <c r="E466" s="34">
        <v>4412</v>
      </c>
      <c r="F466" s="46" t="s">
        <v>672</v>
      </c>
      <c r="G466" s="35">
        <f>60000*3</f>
        <v>180000</v>
      </c>
      <c r="H466" s="40">
        <f>60000*3</f>
        <v>180000</v>
      </c>
    </row>
    <row r="467" spans="1:8" s="15" customFormat="1" ht="27.95" customHeight="1" x14ac:dyDescent="0.2">
      <c r="A467" s="1" t="s">
        <v>1440</v>
      </c>
      <c r="B467" s="43" t="s">
        <v>1125</v>
      </c>
      <c r="C467" s="46" t="s">
        <v>39</v>
      </c>
      <c r="D467" s="44" t="s">
        <v>1129</v>
      </c>
      <c r="E467" s="34">
        <v>5390</v>
      </c>
      <c r="F467" s="46" t="s">
        <v>1130</v>
      </c>
      <c r="G467" s="35">
        <f>61300*3</f>
        <v>183900</v>
      </c>
      <c r="H467" s="40">
        <f>61300*3</f>
        <v>183900</v>
      </c>
    </row>
    <row r="468" spans="1:8" s="15" customFormat="1" ht="27.95" customHeight="1" x14ac:dyDescent="0.2">
      <c r="A468" s="1" t="s">
        <v>1440</v>
      </c>
      <c r="B468" s="43" t="s">
        <v>1036</v>
      </c>
      <c r="C468" s="46" t="s">
        <v>46</v>
      </c>
      <c r="D468" s="44" t="s">
        <v>1040</v>
      </c>
      <c r="E468" s="34">
        <v>5222</v>
      </c>
      <c r="F468" s="46" t="s">
        <v>1043</v>
      </c>
      <c r="G468" s="35">
        <f>63000*3</f>
        <v>189000</v>
      </c>
      <c r="H468" s="40">
        <f>63000*3</f>
        <v>189000</v>
      </c>
    </row>
    <row r="469" spans="1:8" s="15" customFormat="1" ht="27.95" customHeight="1" x14ac:dyDescent="0.2">
      <c r="A469" s="1" t="s">
        <v>1440</v>
      </c>
      <c r="B469" s="43" t="s">
        <v>655</v>
      </c>
      <c r="C469" s="46" t="s">
        <v>17</v>
      </c>
      <c r="D469" s="44" t="s">
        <v>668</v>
      </c>
      <c r="E469" s="34">
        <v>4105</v>
      </c>
      <c r="F469" s="46" t="s">
        <v>673</v>
      </c>
      <c r="G469" s="49">
        <f>65000*3</f>
        <v>195000</v>
      </c>
      <c r="H469" s="40">
        <f>65000*3</f>
        <v>195000</v>
      </c>
    </row>
    <row r="470" spans="1:8" s="15" customFormat="1" ht="27.95" customHeight="1" x14ac:dyDescent="0.2">
      <c r="A470" s="1" t="s">
        <v>1440</v>
      </c>
      <c r="B470" s="43" t="s">
        <v>1035</v>
      </c>
      <c r="C470" s="46" t="s">
        <v>46</v>
      </c>
      <c r="D470" s="44" t="s">
        <v>1039</v>
      </c>
      <c r="E470" s="34">
        <v>5238</v>
      </c>
      <c r="F470" s="46" t="s">
        <v>1042</v>
      </c>
      <c r="G470" s="35">
        <f>65000*3</f>
        <v>195000</v>
      </c>
      <c r="H470" s="40">
        <f>65000*3</f>
        <v>195000</v>
      </c>
    </row>
    <row r="471" spans="1:8" s="15" customFormat="1" ht="27.95" customHeight="1" x14ac:dyDescent="0.2">
      <c r="A471" s="1" t="s">
        <v>1440</v>
      </c>
      <c r="B471" s="43" t="s">
        <v>1410</v>
      </c>
      <c r="C471" s="46" t="s">
        <v>66</v>
      </c>
      <c r="D471" s="44" t="s">
        <v>974</v>
      </c>
      <c r="E471" s="34">
        <v>6149</v>
      </c>
      <c r="F471" s="46" t="s">
        <v>1417</v>
      </c>
      <c r="G471" s="35">
        <f>74010*3</f>
        <v>222030</v>
      </c>
      <c r="H471" s="40">
        <f>74010*3</f>
        <v>222030</v>
      </c>
    </row>
    <row r="472" spans="1:8" s="15" customFormat="1" ht="27.95" customHeight="1" x14ac:dyDescent="0.2">
      <c r="A472" s="1" t="s">
        <v>1440</v>
      </c>
      <c r="B472" s="43" t="s">
        <v>1412</v>
      </c>
      <c r="C472" s="46" t="s">
        <v>39</v>
      </c>
      <c r="D472" s="44" t="s">
        <v>230</v>
      </c>
      <c r="E472" s="34">
        <v>6305</v>
      </c>
      <c r="F472" s="46" t="s">
        <v>1415</v>
      </c>
      <c r="G472" s="35">
        <f>75714*3</f>
        <v>227142</v>
      </c>
      <c r="H472" s="40">
        <f>75714*3</f>
        <v>227142</v>
      </c>
    </row>
    <row r="473" spans="1:8" s="15" customFormat="1" ht="27.95" customHeight="1" x14ac:dyDescent="0.2">
      <c r="A473" s="1" t="s">
        <v>1440</v>
      </c>
      <c r="B473" s="43" t="s">
        <v>771</v>
      </c>
      <c r="C473" s="46" t="s">
        <v>17</v>
      </c>
      <c r="D473" s="44" t="s">
        <v>796</v>
      </c>
      <c r="E473" s="34">
        <v>4413</v>
      </c>
      <c r="F473" s="46" t="s">
        <v>783</v>
      </c>
      <c r="G473" s="35">
        <f>77000*3</f>
        <v>231000</v>
      </c>
      <c r="H473" s="40">
        <f>77000*3</f>
        <v>231000</v>
      </c>
    </row>
    <row r="474" spans="1:8" s="15" customFormat="1" ht="27.95" customHeight="1" x14ac:dyDescent="0.2">
      <c r="A474" s="1" t="s">
        <v>1440</v>
      </c>
      <c r="B474" s="43" t="s">
        <v>264</v>
      </c>
      <c r="C474" s="46" t="s">
        <v>92</v>
      </c>
      <c r="D474" s="44" t="s">
        <v>99</v>
      </c>
      <c r="E474" s="47">
        <v>3948</v>
      </c>
      <c r="F474" s="46" t="s">
        <v>278</v>
      </c>
      <c r="G474" s="35">
        <f>80000*3</f>
        <v>240000</v>
      </c>
      <c r="H474" s="40">
        <f>80000*3</f>
        <v>240000</v>
      </c>
    </row>
    <row r="475" spans="1:8" s="15" customFormat="1" ht="27.95" customHeight="1" x14ac:dyDescent="0.2">
      <c r="A475" s="1" t="s">
        <v>1440</v>
      </c>
      <c r="B475" s="43" t="s">
        <v>764</v>
      </c>
      <c r="C475" s="46" t="s">
        <v>47</v>
      </c>
      <c r="D475" s="44" t="s">
        <v>791</v>
      </c>
      <c r="E475" s="34">
        <v>4517</v>
      </c>
      <c r="F475" s="46" t="s">
        <v>778</v>
      </c>
      <c r="G475" s="35">
        <f>80000*3</f>
        <v>240000</v>
      </c>
      <c r="H475" s="40">
        <f>80000*3</f>
        <v>240000</v>
      </c>
    </row>
    <row r="476" spans="1:8" s="15" customFormat="1" ht="27.95" customHeight="1" x14ac:dyDescent="0.2">
      <c r="A476" s="1" t="s">
        <v>1440</v>
      </c>
      <c r="B476" s="43" t="s">
        <v>253</v>
      </c>
      <c r="C476" s="46" t="s">
        <v>39</v>
      </c>
      <c r="D476" s="44" t="s">
        <v>286</v>
      </c>
      <c r="E476" s="34">
        <v>4219</v>
      </c>
      <c r="F476" s="46" t="s">
        <v>269</v>
      </c>
      <c r="G476" s="35">
        <f>84654*3</f>
        <v>253962</v>
      </c>
      <c r="H476" s="40">
        <f>84654*3</f>
        <v>253962</v>
      </c>
    </row>
    <row r="477" spans="1:8" s="15" customFormat="1" ht="27.95" customHeight="1" x14ac:dyDescent="0.2">
      <c r="A477" s="1" t="s">
        <v>1440</v>
      </c>
      <c r="B477" s="43" t="s">
        <v>265</v>
      </c>
      <c r="C477" s="46" t="s">
        <v>46</v>
      </c>
      <c r="D477" s="44" t="s">
        <v>292</v>
      </c>
      <c r="E477" s="34">
        <v>4273</v>
      </c>
      <c r="F477" s="46" t="s">
        <v>279</v>
      </c>
      <c r="G477" s="35">
        <f>90960*3</f>
        <v>272880</v>
      </c>
      <c r="H477" s="40">
        <f>90960*3</f>
        <v>272880</v>
      </c>
    </row>
    <row r="478" spans="1:8" s="15" customFormat="1" ht="27.95" customHeight="1" x14ac:dyDescent="0.2">
      <c r="A478" s="1" t="s">
        <v>1440</v>
      </c>
      <c r="B478" s="43" t="s">
        <v>657</v>
      </c>
      <c r="C478" s="46" t="s">
        <v>17</v>
      </c>
      <c r="D478" s="44" t="s">
        <v>670</v>
      </c>
      <c r="E478" s="34">
        <v>4321</v>
      </c>
      <c r="F478" s="46" t="s">
        <v>675</v>
      </c>
      <c r="G478" s="35">
        <f>91256*3</f>
        <v>273768</v>
      </c>
      <c r="H478" s="40">
        <f>91256*3</f>
        <v>273768</v>
      </c>
    </row>
    <row r="479" spans="1:8" s="15" customFormat="1" ht="27.95" customHeight="1" x14ac:dyDescent="0.2">
      <c r="A479" s="1" t="s">
        <v>1440</v>
      </c>
      <c r="B479" s="43" t="s">
        <v>256</v>
      </c>
      <c r="C479" s="46" t="s">
        <v>40</v>
      </c>
      <c r="D479" s="44" t="s">
        <v>287</v>
      </c>
      <c r="E479" s="34">
        <v>4192</v>
      </c>
      <c r="F479" s="46" t="s">
        <v>272</v>
      </c>
      <c r="G479" s="35">
        <f>92017*3</f>
        <v>276051</v>
      </c>
      <c r="H479" s="40">
        <f>92017*3</f>
        <v>276051</v>
      </c>
    </row>
    <row r="480" spans="1:8" s="15" customFormat="1" ht="27.95" customHeight="1" x14ac:dyDescent="0.2">
      <c r="A480" s="1" t="s">
        <v>1440</v>
      </c>
      <c r="B480" s="43" t="s">
        <v>257</v>
      </c>
      <c r="C480" s="46" t="s">
        <v>40</v>
      </c>
      <c r="D480" s="44" t="s">
        <v>288</v>
      </c>
      <c r="E480" s="34">
        <v>4136</v>
      </c>
      <c r="F480" s="46" t="s">
        <v>273</v>
      </c>
      <c r="G480" s="35">
        <f>92410*3</f>
        <v>277230</v>
      </c>
      <c r="H480" s="40">
        <f>92410*3</f>
        <v>277230</v>
      </c>
    </row>
    <row r="481" spans="1:8" s="15" customFormat="1" ht="27.95" customHeight="1" x14ac:dyDescent="0.2">
      <c r="A481" s="1" t="s">
        <v>1440</v>
      </c>
      <c r="B481" s="43" t="s">
        <v>993</v>
      </c>
      <c r="C481" s="46" t="s">
        <v>997</v>
      </c>
      <c r="D481" s="44" t="s">
        <v>998</v>
      </c>
      <c r="E481" s="47" t="s">
        <v>41</v>
      </c>
      <c r="F481" s="46" t="s">
        <v>1001</v>
      </c>
      <c r="G481" s="35">
        <f>93079*3</f>
        <v>279237</v>
      </c>
      <c r="H481" s="40">
        <f>93079*3</f>
        <v>279237</v>
      </c>
    </row>
    <row r="482" spans="1:8" s="15" customFormat="1" ht="27.95" customHeight="1" x14ac:dyDescent="0.2">
      <c r="A482" s="1" t="s">
        <v>1440</v>
      </c>
      <c r="B482" s="43" t="s">
        <v>255</v>
      </c>
      <c r="C482" s="46" t="s">
        <v>46</v>
      </c>
      <c r="D482" s="44" t="s">
        <v>108</v>
      </c>
      <c r="E482" s="34">
        <v>4276</v>
      </c>
      <c r="F482" s="46" t="s">
        <v>271</v>
      </c>
      <c r="G482" s="35">
        <f>93600*3</f>
        <v>280800</v>
      </c>
      <c r="H482" s="40">
        <f>93600*3</f>
        <v>280800</v>
      </c>
    </row>
    <row r="483" spans="1:8" s="15" customFormat="1" ht="27.95" customHeight="1" x14ac:dyDescent="0.2">
      <c r="A483" s="1" t="s">
        <v>1440</v>
      </c>
      <c r="B483" s="43" t="s">
        <v>1080</v>
      </c>
      <c r="C483" s="46" t="s">
        <v>17</v>
      </c>
      <c r="D483" s="44" t="s">
        <v>1083</v>
      </c>
      <c r="E483" s="34">
        <v>4813</v>
      </c>
      <c r="F483" s="46" t="s">
        <v>1229</v>
      </c>
      <c r="G483" s="35">
        <f>94991*3</f>
        <v>284973</v>
      </c>
      <c r="H483" s="40">
        <f>94991*3</f>
        <v>284973</v>
      </c>
    </row>
    <row r="484" spans="1:8" s="15" customFormat="1" ht="27.95" customHeight="1" x14ac:dyDescent="0.2">
      <c r="A484" s="1" t="s">
        <v>1440</v>
      </c>
      <c r="B484" s="43" t="s">
        <v>262</v>
      </c>
      <c r="C484" s="46" t="s">
        <v>40</v>
      </c>
      <c r="D484" s="44" t="s">
        <v>61</v>
      </c>
      <c r="E484" s="34">
        <v>4138</v>
      </c>
      <c r="F484" s="46" t="s">
        <v>63</v>
      </c>
      <c r="G484" s="35">
        <f>95000*3</f>
        <v>285000</v>
      </c>
      <c r="H484" s="40">
        <f>95000*3</f>
        <v>285000</v>
      </c>
    </row>
    <row r="485" spans="1:8" s="15" customFormat="1" ht="27.95" customHeight="1" x14ac:dyDescent="0.2">
      <c r="A485" s="1" t="s">
        <v>1440</v>
      </c>
      <c r="B485" s="43" t="s">
        <v>769</v>
      </c>
      <c r="C485" s="46" t="s">
        <v>17</v>
      </c>
      <c r="D485" s="44" t="s">
        <v>794</v>
      </c>
      <c r="E485" s="34">
        <v>4945</v>
      </c>
      <c r="F485" s="46" t="s">
        <v>789</v>
      </c>
      <c r="G485" s="35">
        <f>95000*3</f>
        <v>285000</v>
      </c>
      <c r="H485" s="40">
        <f>95000*3</f>
        <v>285000</v>
      </c>
    </row>
    <row r="486" spans="1:8" s="15" customFormat="1" ht="27.95" customHeight="1" x14ac:dyDescent="0.2">
      <c r="A486" s="1" t="s">
        <v>1440</v>
      </c>
      <c r="B486" s="43" t="s">
        <v>1220</v>
      </c>
      <c r="C486" s="46" t="s">
        <v>20</v>
      </c>
      <c r="D486" s="44" t="s">
        <v>1224</v>
      </c>
      <c r="E486" s="34">
        <v>5765</v>
      </c>
      <c r="F486" s="46" t="s">
        <v>1228</v>
      </c>
      <c r="G486" s="35">
        <f>97552*3</f>
        <v>292656</v>
      </c>
      <c r="H486" s="40">
        <f>97552*3</f>
        <v>292656</v>
      </c>
    </row>
    <row r="487" spans="1:8" s="15" customFormat="1" ht="27.95" customHeight="1" x14ac:dyDescent="0.2">
      <c r="A487" s="1" t="s">
        <v>1440</v>
      </c>
      <c r="B487" s="43" t="s">
        <v>248</v>
      </c>
      <c r="C487" s="46" t="s">
        <v>17</v>
      </c>
      <c r="D487" s="44" t="s">
        <v>85</v>
      </c>
      <c r="E487" s="34">
        <v>4040</v>
      </c>
      <c r="F487" s="46" t="s">
        <v>267</v>
      </c>
      <c r="G487" s="35">
        <f>98000*3</f>
        <v>294000</v>
      </c>
      <c r="H487" s="40">
        <f>98000*3</f>
        <v>294000</v>
      </c>
    </row>
    <row r="488" spans="1:8" s="15" customFormat="1" ht="27.95" customHeight="1" x14ac:dyDescent="0.2">
      <c r="A488" s="71"/>
      <c r="B488" s="43"/>
      <c r="C488" s="46"/>
      <c r="D488" s="44"/>
      <c r="E488" s="34"/>
      <c r="F488" s="46"/>
      <c r="G488" s="35"/>
      <c r="H488" s="40"/>
    </row>
    <row r="489" spans="1:8" s="20" customFormat="1" ht="27.95" customHeight="1" x14ac:dyDescent="0.2">
      <c r="A489" s="25"/>
      <c r="B489" s="14"/>
      <c r="C489" s="27"/>
      <c r="D489" s="33"/>
      <c r="E489" s="33"/>
      <c r="F489" s="11" t="s">
        <v>4</v>
      </c>
      <c r="G489" s="26">
        <f>SUM(G2:G488)</f>
        <v>27975411</v>
      </c>
      <c r="H489" s="26">
        <f>SUM(H2:H488)</f>
        <v>30462952</v>
      </c>
    </row>
    <row r="490" spans="1:8" s="20" customFormat="1" ht="15" x14ac:dyDescent="0.2">
      <c r="A490" s="25"/>
      <c r="B490" s="21"/>
      <c r="C490" s="22"/>
      <c r="D490" s="23"/>
      <c r="E490" s="23"/>
      <c r="F490" s="22"/>
      <c r="G490" s="19"/>
      <c r="H490" s="19"/>
    </row>
    <row r="491" spans="1:8" ht="15" x14ac:dyDescent="0.2">
      <c r="B491" s="30"/>
      <c r="C491" s="31"/>
      <c r="D491" s="4"/>
      <c r="G491" s="19"/>
      <c r="H491" s="19"/>
    </row>
    <row r="492" spans="1:8" ht="24.95" customHeight="1" x14ac:dyDescent="0.2">
      <c r="D492" s="4"/>
      <c r="F492" s="72" t="s">
        <v>1433</v>
      </c>
      <c r="G492" s="73">
        <f>COUNTIF(A2:A488, "x")</f>
        <v>486</v>
      </c>
      <c r="H492" s="74">
        <f>+SUM(G2:G488)</f>
        <v>27975411</v>
      </c>
    </row>
    <row r="493" spans="1:8" ht="24.95" customHeight="1" x14ac:dyDescent="0.2">
      <c r="D493" s="4"/>
      <c r="F493" s="72"/>
    </row>
    <row r="494" spans="1:8" ht="24.95" customHeight="1" x14ac:dyDescent="0.2">
      <c r="D494" s="4"/>
      <c r="F494" s="75" t="s">
        <v>1434</v>
      </c>
      <c r="G494" s="73">
        <f>COUNTIF(A2:A169, "x")</f>
        <v>168</v>
      </c>
      <c r="H494" s="74">
        <f>+SUM(G2:G169)</f>
        <v>2475027</v>
      </c>
    </row>
    <row r="495" spans="1:8" ht="24.95" customHeight="1" x14ac:dyDescent="0.2">
      <c r="D495" s="4"/>
      <c r="F495" s="75" t="s">
        <v>1435</v>
      </c>
      <c r="G495" s="73">
        <f>COUNTIF(A170:A298, "x")</f>
        <v>129</v>
      </c>
      <c r="H495" s="74">
        <f>+SUM(G170:G298)</f>
        <v>4777549</v>
      </c>
    </row>
    <row r="496" spans="1:8" ht="24.95" customHeight="1" x14ac:dyDescent="0.2">
      <c r="D496" s="4"/>
      <c r="F496" s="75" t="s">
        <v>1436</v>
      </c>
      <c r="G496" s="73">
        <f>COUNTIF(A299:A487, "x")</f>
        <v>189</v>
      </c>
      <c r="H496" s="74">
        <f>+SUM(G299:G487)</f>
        <v>20722835</v>
      </c>
    </row>
    <row r="497" spans="1:19" ht="24.95" customHeight="1" x14ac:dyDescent="0.2">
      <c r="D497" s="4"/>
      <c r="F497" s="75" t="s">
        <v>1437</v>
      </c>
      <c r="G497" s="73">
        <v>0</v>
      </c>
      <c r="H497" s="74">
        <v>0</v>
      </c>
    </row>
    <row r="498" spans="1:19" ht="24.95" customHeight="1" x14ac:dyDescent="0.2">
      <c r="D498" s="4"/>
      <c r="F498" s="75" t="s">
        <v>1438</v>
      </c>
      <c r="G498" s="73">
        <v>0</v>
      </c>
      <c r="H498" s="74">
        <v>0</v>
      </c>
    </row>
    <row r="499" spans="1:19" ht="24.95" customHeight="1" x14ac:dyDescent="0.2">
      <c r="D499" s="4"/>
      <c r="F499" s="75"/>
    </row>
    <row r="500" spans="1:19" ht="24.95" customHeight="1" x14ac:dyDescent="0.25">
      <c r="D500" s="4"/>
      <c r="F500" s="76" t="s">
        <v>1439</v>
      </c>
      <c r="G500" s="73">
        <f>SUM(G494:G499)</f>
        <v>486</v>
      </c>
      <c r="H500" s="74">
        <f>SUM(H494:H499)</f>
        <v>27975411</v>
      </c>
    </row>
    <row r="501" spans="1:19" x14ac:dyDescent="0.2">
      <c r="D501" s="4"/>
    </row>
    <row r="502" spans="1:19" x14ac:dyDescent="0.2">
      <c r="D502" s="4"/>
    </row>
    <row r="503" spans="1:19" x14ac:dyDescent="0.2">
      <c r="D503" s="4"/>
    </row>
    <row r="504" spans="1:19" x14ac:dyDescent="0.2">
      <c r="D504" s="4"/>
    </row>
    <row r="505" spans="1:19" x14ac:dyDescent="0.2">
      <c r="D505" s="4"/>
    </row>
    <row r="506" spans="1:19" x14ac:dyDescent="0.2">
      <c r="D506" s="4"/>
    </row>
    <row r="507" spans="1:19" x14ac:dyDescent="0.2">
      <c r="D507" s="4"/>
    </row>
    <row r="508" spans="1:19" x14ac:dyDescent="0.2">
      <c r="D508" s="4"/>
    </row>
    <row r="509" spans="1:19" s="4" customFormat="1" x14ac:dyDescent="0.2">
      <c r="A509" s="1"/>
      <c r="B509" s="12"/>
      <c r="C509" s="2"/>
      <c r="F509" s="2"/>
      <c r="G509" s="3"/>
      <c r="H509" s="3"/>
      <c r="I509"/>
      <c r="J509"/>
      <c r="K509"/>
      <c r="L509"/>
      <c r="M509"/>
      <c r="N509"/>
      <c r="O509"/>
      <c r="P509"/>
      <c r="Q509"/>
      <c r="R509"/>
      <c r="S509"/>
    </row>
    <row r="510" spans="1:19" s="4" customFormat="1" x14ac:dyDescent="0.2">
      <c r="A510" s="1"/>
      <c r="B510" s="12"/>
      <c r="C510" s="2"/>
      <c r="F510" s="2"/>
      <c r="G510" s="3"/>
      <c r="H510" s="3"/>
      <c r="I510"/>
      <c r="J510"/>
      <c r="K510"/>
      <c r="L510"/>
      <c r="M510"/>
      <c r="N510"/>
      <c r="O510"/>
      <c r="P510"/>
      <c r="Q510"/>
      <c r="R510"/>
      <c r="S510"/>
    </row>
    <row r="511" spans="1:19" s="4" customFormat="1" x14ac:dyDescent="0.2">
      <c r="A511" s="1"/>
      <c r="B511" s="12"/>
      <c r="C511" s="2"/>
      <c r="F511" s="2"/>
      <c r="G511" s="3"/>
      <c r="H511" s="3"/>
      <c r="I511"/>
      <c r="J511"/>
      <c r="K511"/>
      <c r="L511"/>
      <c r="M511"/>
      <c r="N511"/>
      <c r="O511"/>
      <c r="P511"/>
      <c r="Q511"/>
      <c r="R511"/>
      <c r="S511"/>
    </row>
    <row r="512" spans="1:19" s="4" customFormat="1" x14ac:dyDescent="0.2">
      <c r="A512" s="1"/>
      <c r="B512" s="12"/>
      <c r="C512" s="2"/>
      <c r="F512" s="2"/>
      <c r="G512" s="3"/>
      <c r="H512" s="3"/>
      <c r="I512"/>
      <c r="J512"/>
      <c r="K512"/>
      <c r="L512"/>
      <c r="M512"/>
      <c r="N512"/>
      <c r="O512"/>
      <c r="P512"/>
      <c r="Q512"/>
      <c r="R512"/>
      <c r="S512"/>
    </row>
    <row r="513" spans="1:19" s="4" customFormat="1" x14ac:dyDescent="0.2">
      <c r="A513" s="1"/>
      <c r="B513" s="12"/>
      <c r="C513" s="2"/>
      <c r="F513" s="2"/>
      <c r="G513" s="3"/>
      <c r="H513" s="3"/>
      <c r="I513"/>
      <c r="J513"/>
      <c r="K513"/>
      <c r="L513"/>
      <c r="M513"/>
      <c r="N513"/>
      <c r="O513"/>
      <c r="P513"/>
      <c r="Q513"/>
      <c r="R513"/>
      <c r="S513"/>
    </row>
    <row r="514" spans="1:19" s="4" customFormat="1" x14ac:dyDescent="0.2">
      <c r="A514" s="1"/>
      <c r="B514" s="12"/>
      <c r="C514" s="2"/>
      <c r="F514" s="2"/>
      <c r="G514" s="3"/>
      <c r="H514" s="3"/>
      <c r="I514"/>
      <c r="J514"/>
      <c r="K514"/>
      <c r="L514"/>
      <c r="M514"/>
      <c r="N514"/>
      <c r="O514"/>
      <c r="P514"/>
      <c r="Q514"/>
      <c r="R514"/>
      <c r="S514"/>
    </row>
    <row r="515" spans="1:19" s="4" customFormat="1" x14ac:dyDescent="0.2">
      <c r="A515" s="1"/>
      <c r="B515" s="12"/>
      <c r="C515" s="2"/>
      <c r="F515" s="2"/>
      <c r="G515" s="3"/>
      <c r="H515" s="3"/>
      <c r="I515"/>
      <c r="J515"/>
      <c r="K515"/>
      <c r="L515"/>
      <c r="M515"/>
      <c r="N515"/>
      <c r="O515"/>
      <c r="P515"/>
      <c r="Q515"/>
      <c r="R515"/>
      <c r="S515"/>
    </row>
    <row r="516" spans="1:19" s="4" customFormat="1" x14ac:dyDescent="0.2">
      <c r="A516" s="1"/>
      <c r="B516" s="12"/>
      <c r="C516" s="2"/>
      <c r="F516" s="2"/>
      <c r="G516" s="3"/>
      <c r="H516" s="3"/>
      <c r="I516"/>
      <c r="J516"/>
      <c r="K516"/>
      <c r="L516"/>
      <c r="M516"/>
      <c r="N516"/>
      <c r="O516"/>
      <c r="P516"/>
      <c r="Q516"/>
      <c r="R516"/>
      <c r="S516"/>
    </row>
    <row r="517" spans="1:19" s="4" customFormat="1" x14ac:dyDescent="0.2">
      <c r="A517" s="1"/>
      <c r="B517" s="12"/>
      <c r="C517" s="2"/>
      <c r="F517" s="2"/>
      <c r="G517" s="3"/>
      <c r="H517" s="3"/>
      <c r="I517"/>
      <c r="J517"/>
      <c r="K517"/>
      <c r="L517"/>
      <c r="M517"/>
      <c r="N517"/>
      <c r="O517"/>
      <c r="P517"/>
      <c r="Q517"/>
      <c r="R517"/>
      <c r="S517"/>
    </row>
    <row r="518" spans="1:19" s="4" customFormat="1" x14ac:dyDescent="0.2">
      <c r="A518" s="1"/>
      <c r="B518" s="12"/>
      <c r="C518" s="2"/>
      <c r="F518" s="2"/>
      <c r="G518" s="3"/>
      <c r="H518" s="3"/>
      <c r="I518"/>
      <c r="J518"/>
      <c r="K518"/>
      <c r="L518"/>
      <c r="M518"/>
      <c r="N518"/>
      <c r="O518"/>
      <c r="P518"/>
      <c r="Q518"/>
      <c r="R518"/>
      <c r="S518"/>
    </row>
    <row r="519" spans="1:19" s="4" customFormat="1" x14ac:dyDescent="0.2">
      <c r="A519" s="1"/>
      <c r="B519" s="12"/>
      <c r="C519" s="2"/>
      <c r="F519" s="2"/>
      <c r="G519" s="3"/>
      <c r="H519" s="3"/>
      <c r="I519"/>
      <c r="J519"/>
      <c r="K519"/>
      <c r="L519"/>
      <c r="M519"/>
      <c r="N519"/>
      <c r="O519"/>
      <c r="P519"/>
      <c r="Q519"/>
      <c r="R519"/>
      <c r="S519"/>
    </row>
    <row r="520" spans="1:19" s="4" customFormat="1" x14ac:dyDescent="0.2">
      <c r="A520" s="1"/>
      <c r="B520" s="12"/>
      <c r="C520" s="2"/>
      <c r="F520" s="2"/>
      <c r="G520" s="3"/>
      <c r="H520" s="3"/>
      <c r="I520"/>
      <c r="J520"/>
      <c r="K520"/>
      <c r="L520"/>
      <c r="M520"/>
      <c r="N520"/>
      <c r="O520"/>
      <c r="P520"/>
      <c r="Q520"/>
      <c r="R520"/>
      <c r="S520"/>
    </row>
    <row r="521" spans="1:19" s="4" customFormat="1" x14ac:dyDescent="0.2">
      <c r="A521" s="1"/>
      <c r="B521" s="12"/>
      <c r="C521" s="2"/>
      <c r="F521" s="2"/>
      <c r="G521" s="3"/>
      <c r="H521" s="3"/>
      <c r="I521"/>
      <c r="J521"/>
      <c r="K521"/>
      <c r="L521"/>
      <c r="M521"/>
      <c r="N521"/>
      <c r="O521"/>
      <c r="P521"/>
      <c r="Q521"/>
      <c r="R521"/>
      <c r="S521"/>
    </row>
    <row r="522" spans="1:19" s="4" customFormat="1" x14ac:dyDescent="0.2">
      <c r="A522" s="1"/>
      <c r="B522" s="12"/>
      <c r="C522" s="2"/>
      <c r="F522" s="2"/>
      <c r="G522" s="3"/>
      <c r="H522" s="3"/>
      <c r="I522"/>
      <c r="J522"/>
      <c r="K522"/>
      <c r="L522"/>
      <c r="M522"/>
      <c r="N522"/>
      <c r="O522"/>
      <c r="P522"/>
      <c r="Q522"/>
      <c r="R522"/>
      <c r="S522"/>
    </row>
    <row r="523" spans="1:19" s="4" customFormat="1" x14ac:dyDescent="0.2">
      <c r="A523" s="1"/>
      <c r="B523" s="12"/>
      <c r="C523" s="2"/>
      <c r="F523" s="2"/>
      <c r="G523" s="3"/>
      <c r="H523" s="3"/>
      <c r="I523"/>
      <c r="J523"/>
      <c r="K523"/>
      <c r="L523"/>
      <c r="M523"/>
      <c r="N523"/>
      <c r="O523"/>
      <c r="P523"/>
      <c r="Q523"/>
      <c r="R523"/>
      <c r="S523"/>
    </row>
    <row r="524" spans="1:19" s="4" customFormat="1" x14ac:dyDescent="0.2">
      <c r="A524" s="1"/>
      <c r="B524" s="12"/>
      <c r="C524" s="2"/>
      <c r="F524" s="2"/>
      <c r="G524" s="3"/>
      <c r="H524" s="3"/>
      <c r="I524"/>
      <c r="J524"/>
      <c r="K524"/>
      <c r="L524"/>
      <c r="M524"/>
      <c r="N524"/>
      <c r="O524"/>
      <c r="P524"/>
      <c r="Q524"/>
      <c r="R524"/>
      <c r="S524"/>
    </row>
    <row r="525" spans="1:19" s="4" customFormat="1" x14ac:dyDescent="0.2">
      <c r="A525" s="1"/>
      <c r="B525" s="12"/>
      <c r="C525" s="2"/>
      <c r="F525" s="2"/>
      <c r="G525" s="3"/>
      <c r="H525" s="3"/>
      <c r="I525"/>
      <c r="J525"/>
      <c r="K525"/>
      <c r="L525"/>
      <c r="M525"/>
      <c r="N525"/>
      <c r="O525"/>
      <c r="P525"/>
      <c r="Q525"/>
      <c r="R525"/>
      <c r="S525"/>
    </row>
    <row r="526" spans="1:19" s="4" customFormat="1" x14ac:dyDescent="0.2">
      <c r="A526" s="1"/>
      <c r="B526" s="12"/>
      <c r="C526" s="2"/>
      <c r="F526" s="2"/>
      <c r="G526" s="3"/>
      <c r="H526" s="3"/>
      <c r="I526"/>
      <c r="J526"/>
      <c r="K526"/>
      <c r="L526"/>
      <c r="M526"/>
      <c r="N526"/>
      <c r="O526"/>
      <c r="P526"/>
      <c r="Q526"/>
      <c r="R526"/>
      <c r="S526"/>
    </row>
    <row r="527" spans="1:19" s="4" customFormat="1" x14ac:dyDescent="0.2">
      <c r="A527" s="1"/>
      <c r="B527" s="12"/>
      <c r="C527" s="2"/>
      <c r="F527" s="2"/>
      <c r="G527" s="3"/>
      <c r="H527" s="3"/>
      <c r="I527"/>
      <c r="J527"/>
      <c r="K527"/>
      <c r="L527"/>
      <c r="M527"/>
      <c r="N527"/>
      <c r="O527"/>
      <c r="P527"/>
      <c r="Q527"/>
      <c r="R527"/>
      <c r="S527"/>
    </row>
    <row r="528" spans="1:19" s="4" customFormat="1" x14ac:dyDescent="0.2">
      <c r="A528" s="1"/>
      <c r="B528" s="12"/>
      <c r="C528" s="2"/>
      <c r="F528" s="2"/>
      <c r="G528" s="3"/>
      <c r="H528" s="3"/>
      <c r="I528"/>
      <c r="J528"/>
      <c r="K528"/>
      <c r="L528"/>
      <c r="M528"/>
      <c r="N528"/>
      <c r="O528"/>
      <c r="P528"/>
      <c r="Q528"/>
      <c r="R528"/>
      <c r="S528"/>
    </row>
    <row r="529" spans="1:19" s="4" customFormat="1" x14ac:dyDescent="0.2">
      <c r="A529" s="1"/>
      <c r="B529" s="12"/>
      <c r="C529" s="2"/>
      <c r="F529" s="2"/>
      <c r="G529" s="3"/>
      <c r="H529" s="3"/>
      <c r="I529"/>
      <c r="J529"/>
      <c r="K529"/>
      <c r="L529"/>
      <c r="M529"/>
      <c r="N529"/>
      <c r="O529"/>
      <c r="P529"/>
      <c r="Q529"/>
      <c r="R529"/>
      <c r="S529"/>
    </row>
    <row r="530" spans="1:19" s="4" customFormat="1" x14ac:dyDescent="0.2">
      <c r="A530" s="1"/>
      <c r="B530" s="12"/>
      <c r="C530" s="2"/>
      <c r="F530" s="2"/>
      <c r="G530" s="3"/>
      <c r="H530" s="3"/>
      <c r="I530"/>
      <c r="J530"/>
      <c r="K530"/>
      <c r="L530"/>
      <c r="M530"/>
      <c r="N530"/>
      <c r="O530"/>
      <c r="P530"/>
      <c r="Q530"/>
      <c r="R530"/>
      <c r="S530"/>
    </row>
    <row r="531" spans="1:19" s="4" customFormat="1" x14ac:dyDescent="0.2">
      <c r="A531" s="1"/>
      <c r="B531" s="12"/>
      <c r="C531" s="2"/>
      <c r="F531" s="2"/>
      <c r="G531" s="3"/>
      <c r="H531" s="3"/>
      <c r="I531"/>
      <c r="J531"/>
      <c r="K531"/>
      <c r="L531"/>
      <c r="M531"/>
      <c r="N531"/>
      <c r="O531"/>
      <c r="P531"/>
      <c r="Q531"/>
      <c r="R531"/>
      <c r="S531"/>
    </row>
    <row r="532" spans="1:19" s="4" customFormat="1" x14ac:dyDescent="0.2">
      <c r="A532" s="1"/>
      <c r="B532" s="12"/>
      <c r="C532" s="2"/>
      <c r="F532" s="2"/>
      <c r="G532" s="3"/>
      <c r="H532" s="3"/>
      <c r="I532"/>
      <c r="J532"/>
      <c r="K532"/>
      <c r="L532"/>
      <c r="M532"/>
      <c r="N532"/>
      <c r="O532"/>
      <c r="P532"/>
      <c r="Q532"/>
      <c r="R532"/>
      <c r="S532"/>
    </row>
    <row r="533" spans="1:19" s="4" customFormat="1" x14ac:dyDescent="0.2">
      <c r="A533" s="1"/>
      <c r="B533" s="12"/>
      <c r="C533" s="2"/>
      <c r="F533" s="2"/>
      <c r="G533" s="3"/>
      <c r="H533" s="3"/>
      <c r="I533"/>
      <c r="J533"/>
      <c r="K533"/>
      <c r="L533"/>
      <c r="M533"/>
      <c r="N533"/>
      <c r="O533"/>
      <c r="P533"/>
      <c r="Q533"/>
      <c r="R533"/>
      <c r="S533"/>
    </row>
    <row r="534" spans="1:19" s="4" customFormat="1" x14ac:dyDescent="0.2">
      <c r="A534" s="1"/>
      <c r="B534" s="12"/>
      <c r="C534" s="2"/>
      <c r="F534" s="2"/>
      <c r="G534" s="3"/>
      <c r="H534" s="3"/>
      <c r="I534"/>
      <c r="J534"/>
      <c r="K534"/>
      <c r="L534"/>
      <c r="M534"/>
      <c r="N534"/>
      <c r="O534"/>
      <c r="P534"/>
      <c r="Q534"/>
      <c r="R534"/>
      <c r="S534"/>
    </row>
    <row r="535" spans="1:19" s="4" customFormat="1" x14ac:dyDescent="0.2">
      <c r="A535" s="1"/>
      <c r="B535" s="12"/>
      <c r="C535" s="2"/>
      <c r="F535" s="2"/>
      <c r="G535" s="3"/>
      <c r="H535" s="3"/>
      <c r="I535"/>
      <c r="J535"/>
      <c r="K535"/>
      <c r="L535"/>
      <c r="M535"/>
      <c r="N535"/>
      <c r="O535"/>
      <c r="P535"/>
      <c r="Q535"/>
      <c r="R535"/>
      <c r="S535"/>
    </row>
    <row r="536" spans="1:19" s="4" customFormat="1" x14ac:dyDescent="0.2">
      <c r="A536" s="1"/>
      <c r="B536" s="12"/>
      <c r="C536" s="2"/>
      <c r="F536" s="2"/>
      <c r="G536" s="3"/>
      <c r="H536" s="3"/>
      <c r="I536"/>
      <c r="J536"/>
      <c r="K536"/>
      <c r="L536"/>
      <c r="M536"/>
      <c r="N536"/>
      <c r="O536"/>
      <c r="P536"/>
      <c r="Q536"/>
      <c r="R536"/>
      <c r="S536"/>
    </row>
    <row r="537" spans="1:19" s="4" customFormat="1" x14ac:dyDescent="0.2">
      <c r="A537" s="1"/>
      <c r="B537" s="12"/>
      <c r="C537" s="2"/>
      <c r="F537" s="2"/>
      <c r="G537" s="3"/>
      <c r="H537" s="3"/>
      <c r="I537"/>
      <c r="J537"/>
      <c r="K537"/>
      <c r="L537"/>
      <c r="M537"/>
      <c r="N537"/>
      <c r="O537"/>
      <c r="P537"/>
      <c r="Q537"/>
      <c r="R537"/>
      <c r="S537"/>
    </row>
    <row r="538" spans="1:19" s="4" customFormat="1" x14ac:dyDescent="0.2">
      <c r="A538" s="1"/>
      <c r="B538" s="12"/>
      <c r="C538" s="2"/>
      <c r="F538" s="2"/>
      <c r="G538" s="3"/>
      <c r="H538" s="3"/>
      <c r="I538"/>
      <c r="J538"/>
      <c r="K538"/>
      <c r="L538"/>
      <c r="M538"/>
      <c r="N538"/>
      <c r="O538"/>
      <c r="P538"/>
      <c r="Q538"/>
      <c r="R538"/>
      <c r="S538"/>
    </row>
    <row r="539" spans="1:19" s="4" customFormat="1" x14ac:dyDescent="0.2">
      <c r="A539" s="1"/>
      <c r="B539" s="12"/>
      <c r="C539" s="2"/>
      <c r="F539" s="2"/>
      <c r="G539" s="3"/>
      <c r="H539" s="3"/>
      <c r="I539"/>
      <c r="J539"/>
      <c r="K539"/>
      <c r="L539"/>
      <c r="M539"/>
      <c r="N539"/>
      <c r="O539"/>
      <c r="P539"/>
      <c r="Q539"/>
      <c r="R539"/>
      <c r="S539"/>
    </row>
    <row r="540" spans="1:19" s="4" customFormat="1" x14ac:dyDescent="0.2">
      <c r="A540" s="1"/>
      <c r="B540" s="12"/>
      <c r="C540" s="2"/>
      <c r="F540" s="2"/>
      <c r="G540" s="3"/>
      <c r="H540" s="3"/>
      <c r="I540"/>
      <c r="J540"/>
      <c r="K540"/>
      <c r="L540"/>
      <c r="M540"/>
      <c r="N540"/>
      <c r="O540"/>
      <c r="P540"/>
      <c r="Q540"/>
      <c r="R540"/>
      <c r="S540"/>
    </row>
    <row r="541" spans="1:19" s="4" customFormat="1" x14ac:dyDescent="0.2">
      <c r="A541" s="1"/>
      <c r="B541" s="12"/>
      <c r="C541" s="2"/>
      <c r="F541" s="2"/>
      <c r="G541" s="3"/>
      <c r="H541" s="3"/>
      <c r="I541"/>
      <c r="J541"/>
      <c r="K541"/>
      <c r="L541"/>
      <c r="M541"/>
      <c r="N541"/>
      <c r="O541"/>
      <c r="P541"/>
      <c r="Q541"/>
      <c r="R541"/>
      <c r="S541"/>
    </row>
    <row r="542" spans="1:19" s="4" customFormat="1" x14ac:dyDescent="0.2">
      <c r="A542" s="1"/>
      <c r="B542" s="12"/>
      <c r="C542" s="2"/>
      <c r="F542" s="2"/>
      <c r="G542" s="3"/>
      <c r="H542" s="3"/>
      <c r="I542"/>
      <c r="J542"/>
      <c r="K542"/>
      <c r="L542"/>
      <c r="M542"/>
      <c r="N542"/>
      <c r="O542"/>
      <c r="P542"/>
      <c r="Q542"/>
      <c r="R542"/>
      <c r="S542"/>
    </row>
    <row r="543" spans="1:19" s="4" customFormat="1" x14ac:dyDescent="0.2">
      <c r="A543" s="1"/>
      <c r="B543" s="12"/>
      <c r="C543" s="2"/>
      <c r="F543" s="2"/>
      <c r="G543" s="3"/>
      <c r="H543" s="3"/>
      <c r="I543"/>
      <c r="J543"/>
      <c r="K543"/>
      <c r="L543"/>
      <c r="M543"/>
      <c r="N543"/>
      <c r="O543"/>
      <c r="P543"/>
      <c r="Q543"/>
      <c r="R543"/>
      <c r="S543"/>
    </row>
    <row r="544" spans="1:19" s="4" customFormat="1" x14ac:dyDescent="0.2">
      <c r="A544" s="1"/>
      <c r="B544" s="12"/>
      <c r="C544" s="2"/>
      <c r="F544" s="2"/>
      <c r="G544" s="3"/>
      <c r="H544" s="3"/>
      <c r="I544"/>
      <c r="J544"/>
      <c r="K544"/>
      <c r="L544"/>
      <c r="M544"/>
      <c r="N544"/>
      <c r="O544"/>
      <c r="P544"/>
      <c r="Q544"/>
      <c r="R544"/>
      <c r="S544"/>
    </row>
    <row r="545" spans="1:19" s="4" customFormat="1" x14ac:dyDescent="0.2">
      <c r="A545" s="1"/>
      <c r="B545" s="12"/>
      <c r="C545" s="2"/>
      <c r="F545" s="2"/>
      <c r="G545" s="3"/>
      <c r="H545" s="3"/>
      <c r="I545"/>
      <c r="J545"/>
      <c r="K545"/>
      <c r="L545"/>
      <c r="M545"/>
      <c r="N545"/>
      <c r="O545"/>
      <c r="P545"/>
      <c r="Q545"/>
      <c r="R545"/>
      <c r="S545"/>
    </row>
  </sheetData>
  <sortState ref="A2:H491">
    <sortCondition ref="G2:G491"/>
  </sortState>
  <printOptions horizontalCentered="1"/>
  <pageMargins left="0.25" right="0.25" top="0.85" bottom="0.25" header="0.26" footer="0.31"/>
  <pageSetup paperSize="5" scale="65" orientation="landscape" r:id="rId1"/>
  <headerFooter alignWithMargins="0">
    <oddHeader>&amp;C&amp;"Arial,Bold"&amp;11 1153 FY2013
SUMMARY REPORT
BY REPORT NUMBER
As of June 30, 2013&amp;RRun Date: &amp;D      &amp;T     
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"/>
  <sheetViews>
    <sheetView tabSelected="1" zoomScaleNormal="100" workbookViewId="0">
      <selection activeCell="B14" sqref="B14"/>
    </sheetView>
  </sheetViews>
  <sheetFormatPr defaultRowHeight="12.75" x14ac:dyDescent="0.2"/>
  <cols>
    <col min="1" max="1" width="9.7109375" style="64" customWidth="1"/>
    <col min="2" max="2" width="53.7109375" style="64" customWidth="1"/>
    <col min="3" max="3" width="15.7109375" style="64" customWidth="1"/>
    <col min="4" max="4" width="27.7109375" style="64" customWidth="1"/>
    <col min="5" max="16384" width="9.140625" style="64"/>
  </cols>
  <sheetData>
    <row r="3" spans="1:4" ht="18" x14ac:dyDescent="0.25">
      <c r="A3" s="60"/>
      <c r="B3" s="61" t="s">
        <v>8</v>
      </c>
      <c r="C3" s="62"/>
      <c r="D3" s="63" t="s">
        <v>9</v>
      </c>
    </row>
    <row r="6" spans="1:4" ht="20.25" x14ac:dyDescent="0.3">
      <c r="B6" s="65" t="s">
        <v>1433</v>
      </c>
      <c r="C6" s="66">
        <v>486</v>
      </c>
      <c r="D6" s="67">
        <v>27975411</v>
      </c>
    </row>
    <row r="7" spans="1:4" ht="20.25" x14ac:dyDescent="0.3">
      <c r="B7" s="68"/>
      <c r="C7" s="66"/>
      <c r="D7" s="67"/>
    </row>
    <row r="8" spans="1:4" ht="20.25" x14ac:dyDescent="0.3">
      <c r="B8" s="69" t="s">
        <v>1434</v>
      </c>
      <c r="C8" s="66">
        <v>168</v>
      </c>
      <c r="D8" s="67">
        <v>2475027</v>
      </c>
    </row>
    <row r="9" spans="1:4" ht="20.25" x14ac:dyDescent="0.3">
      <c r="B9" s="69" t="s">
        <v>1435</v>
      </c>
      <c r="C9" s="66">
        <v>129</v>
      </c>
      <c r="D9" s="67">
        <v>4777549</v>
      </c>
    </row>
    <row r="10" spans="1:4" ht="20.25" x14ac:dyDescent="0.3">
      <c r="B10" s="69" t="s">
        <v>1436</v>
      </c>
      <c r="C10" s="66">
        <v>189</v>
      </c>
      <c r="D10" s="67">
        <v>20722835</v>
      </c>
    </row>
    <row r="11" spans="1:4" ht="20.25" x14ac:dyDescent="0.3">
      <c r="B11" s="69" t="s">
        <v>1437</v>
      </c>
      <c r="C11" s="66">
        <v>0</v>
      </c>
      <c r="D11" s="67">
        <v>0</v>
      </c>
    </row>
    <row r="12" spans="1:4" ht="20.25" x14ac:dyDescent="0.3">
      <c r="B12" s="69" t="s">
        <v>1438</v>
      </c>
      <c r="C12" s="66">
        <v>0</v>
      </c>
      <c r="D12" s="67">
        <v>0</v>
      </c>
    </row>
    <row r="13" spans="1:4" ht="20.25" x14ac:dyDescent="0.3">
      <c r="B13" s="69"/>
      <c r="C13" s="66"/>
      <c r="D13" s="67"/>
    </row>
    <row r="14" spans="1:4" ht="20.25" x14ac:dyDescent="0.3">
      <c r="B14" s="70" t="s">
        <v>1439</v>
      </c>
      <c r="C14" s="66">
        <f>SUM(C8:C13)</f>
        <v>486</v>
      </c>
      <c r="D14" s="67">
        <f>SUM(D8:D13)</f>
        <v>27975411</v>
      </c>
    </row>
  </sheetData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Sorted by Report No.</vt:lpstr>
      <vt:lpstr>Sorted by Department</vt:lpstr>
      <vt:lpstr>Sorted by Vendor</vt:lpstr>
      <vt:lpstr>Analysis</vt:lpstr>
      <vt:lpstr>Summary</vt:lpstr>
      <vt:lpstr>Analysis!Print_Area</vt:lpstr>
      <vt:lpstr>'Sorted by Department'!Print_Area</vt:lpstr>
      <vt:lpstr>'Sorted by Report No.'!Print_Area</vt:lpstr>
      <vt:lpstr>'Sorted by Vendor'!Print_Area</vt:lpstr>
      <vt:lpstr>Analysis!Print_Titles</vt:lpstr>
      <vt:lpstr>'Sorted by Department'!Print_Titles</vt:lpstr>
      <vt:lpstr>'Sorted by Report No.'!Print_Titles</vt:lpstr>
      <vt:lpstr>'Sorted by Vendor'!Print_Titles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Kincannon</dc:creator>
  <cp:lastModifiedBy>Default</cp:lastModifiedBy>
  <cp:lastPrinted>2013-07-12T21:10:10Z</cp:lastPrinted>
  <dcterms:created xsi:type="dcterms:W3CDTF">1998-02-11T21:28:34Z</dcterms:created>
  <dcterms:modified xsi:type="dcterms:W3CDTF">2013-08-01T17:05:35Z</dcterms:modified>
</cp:coreProperties>
</file>