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710" windowWidth="8895" windowHeight="3345" activeTab="3"/>
  </bookViews>
  <sheets>
    <sheet name="Sorted by Report No." sheetId="21" r:id="rId1"/>
    <sheet name="Sorted by Department" sheetId="29" r:id="rId2"/>
    <sheet name="Sorted by Vendor" sheetId="30" r:id="rId3"/>
    <sheet name="Analysis" sheetId="31" r:id="rId4"/>
    <sheet name="Summary" sheetId="32" r:id="rId5"/>
  </sheets>
  <definedNames>
    <definedName name="_xlnm.Print_Area" localSheetId="3">Analysis!$B$1:$H$370</definedName>
    <definedName name="_xlnm.Print_Area" localSheetId="1">'Sorted by Department'!$A$1:$S$361</definedName>
    <definedName name="_xlnm.Print_Area" localSheetId="0">'Sorted by Report No.'!$A$1:$S$361</definedName>
    <definedName name="_xlnm.Print_Area" localSheetId="2">'Sorted by Vendor'!$A$1:$S$361</definedName>
    <definedName name="_xlnm.Print_Titles" localSheetId="3">Analysis!$1:$1</definedName>
    <definedName name="_xlnm.Print_Titles" localSheetId="1">'Sorted by Department'!$1:$1</definedName>
    <definedName name="_xlnm.Print_Titles" localSheetId="0">'Sorted by Report No.'!$1:$1</definedName>
    <definedName name="_xlnm.Print_Titles" localSheetId="2">'Sorted by Vendor'!$1:$1</definedName>
  </definedNames>
  <calcPr calcId="145621"/>
</workbook>
</file>

<file path=xl/calcChain.xml><?xml version="1.0" encoding="utf-8"?>
<calcChain xmlns="http://schemas.openxmlformats.org/spreadsheetml/2006/main">
  <c r="C14" i="32" l="1"/>
  <c r="D14" i="32"/>
  <c r="H366" i="31"/>
  <c r="G366" i="31"/>
  <c r="H365" i="31"/>
  <c r="G365" i="31"/>
  <c r="H364" i="31"/>
  <c r="G364" i="31"/>
  <c r="H362" i="31"/>
  <c r="G362" i="31"/>
  <c r="G370" i="31" l="1"/>
  <c r="H233" i="31" l="1"/>
  <c r="G233" i="31"/>
  <c r="H328" i="31"/>
  <c r="G328" i="31"/>
  <c r="H356" i="31"/>
  <c r="G356" i="31"/>
  <c r="H355" i="31"/>
  <c r="G355" i="31"/>
  <c r="H354" i="31"/>
  <c r="G354" i="31"/>
  <c r="H348" i="31"/>
  <c r="G348" i="31"/>
  <c r="H339" i="31"/>
  <c r="G339" i="31"/>
  <c r="H344" i="31"/>
  <c r="G344" i="31"/>
  <c r="H273" i="31"/>
  <c r="G273" i="31"/>
  <c r="H114" i="31"/>
  <c r="G114" i="31"/>
  <c r="H187" i="31"/>
  <c r="G187" i="31"/>
  <c r="G132" i="31"/>
  <c r="H103" i="31"/>
  <c r="G103" i="31"/>
  <c r="G261" i="31"/>
  <c r="G278" i="31"/>
  <c r="H347" i="31"/>
  <c r="G347" i="31"/>
  <c r="H346" i="31"/>
  <c r="G346" i="31"/>
  <c r="H345" i="31"/>
  <c r="G345" i="31"/>
  <c r="H288" i="31"/>
  <c r="G288" i="31"/>
  <c r="H229" i="31"/>
  <c r="G229" i="31"/>
  <c r="H272" i="31"/>
  <c r="G272" i="31"/>
  <c r="H327" i="31"/>
  <c r="G327" i="31"/>
  <c r="G186" i="31"/>
  <c r="G246" i="31"/>
  <c r="H189" i="31"/>
  <c r="G189" i="31"/>
  <c r="H196" i="31"/>
  <c r="G196" i="31"/>
  <c r="H149" i="31"/>
  <c r="G149" i="31"/>
  <c r="H185" i="31"/>
  <c r="G185" i="31"/>
  <c r="H336" i="31"/>
  <c r="G336" i="31"/>
  <c r="H165" i="31"/>
  <c r="G165" i="31"/>
  <c r="H164" i="31"/>
  <c r="G164" i="31"/>
  <c r="H353" i="31"/>
  <c r="G353" i="31"/>
  <c r="H260" i="31"/>
  <c r="G260" i="31"/>
  <c r="H234" i="31"/>
  <c r="G234" i="31"/>
  <c r="G81" i="31"/>
  <c r="H323" i="31"/>
  <c r="G323" i="31"/>
  <c r="G287" i="31"/>
  <c r="H352" i="31"/>
  <c r="G352" i="31"/>
  <c r="H342" i="31"/>
  <c r="G342" i="31"/>
  <c r="H227" i="31"/>
  <c r="G227" i="31"/>
  <c r="H184" i="31"/>
  <c r="G184" i="31"/>
  <c r="H226" i="31"/>
  <c r="G226" i="31"/>
  <c r="H225" i="31"/>
  <c r="G225" i="31"/>
  <c r="H104" i="31"/>
  <c r="G104" i="31"/>
  <c r="H326" i="31"/>
  <c r="G326" i="31"/>
  <c r="H343" i="31"/>
  <c r="G343" i="31"/>
  <c r="H135" i="31"/>
  <c r="G135" i="31"/>
  <c r="H325" i="31"/>
  <c r="G325" i="31"/>
  <c r="H181" i="31"/>
  <c r="G181" i="31"/>
  <c r="H171" i="31"/>
  <c r="G171" i="31"/>
  <c r="H330" i="31"/>
  <c r="G330" i="31"/>
  <c r="G245" i="31"/>
  <c r="H349" i="31"/>
  <c r="G349" i="31"/>
  <c r="H212" i="31"/>
  <c r="G212" i="31"/>
  <c r="H329" i="31"/>
  <c r="G329" i="31"/>
  <c r="G259" i="31"/>
  <c r="H331" i="31"/>
  <c r="G331" i="31"/>
  <c r="G208" i="31"/>
  <c r="H258" i="31"/>
  <c r="G258" i="31"/>
  <c r="H350" i="31"/>
  <c r="G350" i="31"/>
  <c r="H271" i="31"/>
  <c r="G271" i="31"/>
  <c r="G338" i="31"/>
  <c r="H223" i="31"/>
  <c r="G223" i="31"/>
  <c r="H341" i="31"/>
  <c r="G341" i="31"/>
  <c r="H351" i="31"/>
  <c r="G351" i="31"/>
  <c r="H340" i="31"/>
  <c r="G340" i="31"/>
  <c r="H285" i="31"/>
  <c r="G285" i="31"/>
  <c r="H270" i="31"/>
  <c r="G270" i="31"/>
  <c r="H284" i="31"/>
  <c r="G284" i="31"/>
  <c r="H337" i="31"/>
  <c r="G337" i="31"/>
  <c r="H296" i="31"/>
  <c r="G296" i="31"/>
  <c r="H324" i="31"/>
  <c r="G324" i="31"/>
  <c r="H357" i="31"/>
  <c r="G357" i="31"/>
  <c r="G276" i="31"/>
  <c r="H335" i="31"/>
  <c r="G335" i="31"/>
  <c r="H221" i="31"/>
  <c r="G221" i="31"/>
  <c r="H257" i="31"/>
  <c r="G257" i="31"/>
  <c r="H220" i="31"/>
  <c r="G220" i="31"/>
  <c r="H176" i="31"/>
  <c r="G176" i="31"/>
  <c r="H256" i="31"/>
  <c r="G256" i="31"/>
  <c r="H265" i="31"/>
  <c r="G265" i="31"/>
  <c r="H334" i="31"/>
  <c r="G334" i="31"/>
  <c r="H333" i="31"/>
  <c r="G333" i="31"/>
  <c r="H201" i="31"/>
  <c r="G201" i="31"/>
  <c r="G144" i="31"/>
  <c r="G98" i="31"/>
  <c r="G116" i="31"/>
  <c r="G206" i="31"/>
  <c r="H332" i="31"/>
  <c r="G332" i="31"/>
  <c r="H203" i="31"/>
  <c r="G203" i="31"/>
  <c r="H175" i="31"/>
  <c r="G175" i="31"/>
  <c r="H269" i="31"/>
  <c r="G269" i="31"/>
  <c r="H232" i="31"/>
  <c r="G232" i="31"/>
  <c r="H268" i="31"/>
  <c r="G268" i="31"/>
  <c r="H95" i="31"/>
  <c r="G95" i="31"/>
  <c r="H282" i="31"/>
  <c r="H359" i="31" s="1"/>
  <c r="G282" i="31"/>
  <c r="G359" i="31" l="1"/>
  <c r="S361" i="30"/>
  <c r="R361" i="30"/>
  <c r="Q361" i="30"/>
  <c r="P361" i="30"/>
  <c r="J313" i="30"/>
  <c r="I313" i="30"/>
  <c r="I200" i="30"/>
  <c r="G200" i="30"/>
  <c r="J200" i="30"/>
  <c r="F200" i="30"/>
  <c r="I122" i="30"/>
  <c r="J122" i="30" s="1"/>
  <c r="G166" i="30"/>
  <c r="I166" i="30" s="1"/>
  <c r="F166" i="30"/>
  <c r="G2" i="30"/>
  <c r="I2" i="30" s="1"/>
  <c r="J2" i="30" s="1"/>
  <c r="F2" i="30"/>
  <c r="I319" i="30"/>
  <c r="J319" i="30" s="1"/>
  <c r="I230" i="30"/>
  <c r="J230" i="30" s="1"/>
  <c r="G211" i="30"/>
  <c r="I211" i="30"/>
  <c r="J211" i="30" s="1"/>
  <c r="F211" i="30"/>
  <c r="G4" i="30"/>
  <c r="I4" i="30"/>
  <c r="J4" i="30" s="1"/>
  <c r="F4" i="30"/>
  <c r="G257" i="30"/>
  <c r="I257" i="30"/>
  <c r="J257" i="30" s="1"/>
  <c r="F257" i="30"/>
  <c r="H39" i="30"/>
  <c r="I39" i="30"/>
  <c r="J39" i="30" s="1"/>
  <c r="G73" i="30"/>
  <c r="I73" i="30" s="1"/>
  <c r="J73" i="30" s="1"/>
  <c r="F73" i="30"/>
  <c r="G85" i="30"/>
  <c r="F85" i="30"/>
  <c r="J330" i="30"/>
  <c r="I330" i="30"/>
  <c r="I149" i="30"/>
  <c r="J149" i="30" s="1"/>
  <c r="J176" i="30"/>
  <c r="I176" i="30"/>
  <c r="G353" i="30"/>
  <c r="F353" i="30"/>
  <c r="I8" i="30"/>
  <c r="J8" i="30" s="1"/>
  <c r="I201" i="30"/>
  <c r="J201" i="30" s="1"/>
  <c r="G233" i="30"/>
  <c r="F233" i="30"/>
  <c r="I284" i="30"/>
  <c r="J284" i="30" s="1"/>
  <c r="J177" i="30"/>
  <c r="I177" i="30"/>
  <c r="I265" i="30"/>
  <c r="J265" i="30" s="1"/>
  <c r="J315" i="30"/>
  <c r="I315" i="30"/>
  <c r="I301" i="30"/>
  <c r="J301" i="30" s="1"/>
  <c r="J325" i="30"/>
  <c r="I325" i="30"/>
  <c r="I288" i="30"/>
  <c r="J288" i="30" s="1"/>
  <c r="I345" i="30"/>
  <c r="J345" i="30" s="1"/>
  <c r="I197" i="30"/>
  <c r="J197" i="30"/>
  <c r="I135" i="30"/>
  <c r="J135" i="30" s="1"/>
  <c r="G66" i="30"/>
  <c r="F66" i="30"/>
  <c r="I23" i="30"/>
  <c r="J23" i="30" s="1"/>
  <c r="I170" i="30"/>
  <c r="J170" i="30" s="1"/>
  <c r="I153" i="30"/>
  <c r="J153" i="30" s="1"/>
  <c r="I144" i="30"/>
  <c r="J144" i="30" s="1"/>
  <c r="H13" i="30"/>
  <c r="I13" i="30" s="1"/>
  <c r="J13" i="30" s="1"/>
  <c r="F13" i="30"/>
  <c r="I340" i="30"/>
  <c r="J340" i="30" s="1"/>
  <c r="I344" i="30"/>
  <c r="J344" i="30"/>
  <c r="I126" i="30"/>
  <c r="J126" i="30" s="1"/>
  <c r="I15" i="30"/>
  <c r="J15" i="30" s="1"/>
  <c r="I115" i="30"/>
  <c r="J115" i="30" s="1"/>
  <c r="I312" i="30"/>
  <c r="J312" i="30" s="1"/>
  <c r="I308" i="30"/>
  <c r="J308" i="30" s="1"/>
  <c r="I321" i="30"/>
  <c r="J321" i="30" s="1"/>
  <c r="G55" i="30"/>
  <c r="F55" i="30"/>
  <c r="I279" i="30"/>
  <c r="J279" i="30" s="1"/>
  <c r="J199" i="30"/>
  <c r="I199" i="30"/>
  <c r="I32" i="30"/>
  <c r="J32" i="30" s="1"/>
  <c r="J338" i="30"/>
  <c r="I338" i="30"/>
  <c r="I326" i="30"/>
  <c r="J326" i="30" s="1"/>
  <c r="I256" i="30"/>
  <c r="J256" i="30" s="1"/>
  <c r="I70" i="30"/>
  <c r="J70" i="30" s="1"/>
  <c r="J17" i="30"/>
  <c r="I17" i="30"/>
  <c r="H273" i="30"/>
  <c r="I273" i="30" s="1"/>
  <c r="J273" i="30" s="1"/>
  <c r="H64" i="30"/>
  <c r="I64" i="30" s="1"/>
  <c r="J64" i="30" s="1"/>
  <c r="F64" i="30"/>
  <c r="H161" i="30"/>
  <c r="I161" i="30" s="1"/>
  <c r="J161" i="30" s="1"/>
  <c r="F161" i="30"/>
  <c r="G316" i="30"/>
  <c r="I316" i="30" s="1"/>
  <c r="F316" i="30"/>
  <c r="G202" i="30"/>
  <c r="I202" i="30" s="1"/>
  <c r="F202" i="30"/>
  <c r="G95" i="30"/>
  <c r="I95" i="30" s="1"/>
  <c r="F95" i="30"/>
  <c r="I123" i="30"/>
  <c r="J123" i="30" s="1"/>
  <c r="I305" i="30"/>
  <c r="J305" i="30" s="1"/>
  <c r="G160" i="30"/>
  <c r="F160" i="30"/>
  <c r="J51" i="30"/>
  <c r="I51" i="30"/>
  <c r="I264" i="30"/>
  <c r="J264" i="30" s="1"/>
  <c r="H37" i="30"/>
  <c r="I37" i="30" s="1"/>
  <c r="J37" i="30" s="1"/>
  <c r="I292" i="30"/>
  <c r="J292" i="30" s="1"/>
  <c r="G250" i="30"/>
  <c r="F250" i="30"/>
  <c r="G106" i="30"/>
  <c r="F106" i="30"/>
  <c r="G335" i="30"/>
  <c r="F335" i="30"/>
  <c r="H189" i="30"/>
  <c r="I189" i="30" s="1"/>
  <c r="J189" i="30" s="1"/>
  <c r="F189" i="30"/>
  <c r="I124" i="30"/>
  <c r="J124" i="30" s="1"/>
  <c r="H232" i="30"/>
  <c r="I232" i="30" s="1"/>
  <c r="J232" i="30" s="1"/>
  <c r="I61" i="30"/>
  <c r="J61" i="30" s="1"/>
  <c r="H333" i="30"/>
  <c r="I333" i="30" s="1"/>
  <c r="J333" i="30" s="1"/>
  <c r="H18" i="30"/>
  <c r="I18" i="30" s="1"/>
  <c r="J18" i="30" s="1"/>
  <c r="I27" i="30"/>
  <c r="J27" i="30" s="1"/>
  <c r="I50" i="30"/>
  <c r="J50" i="30" s="1"/>
  <c r="H50" i="30"/>
  <c r="F50" i="30"/>
  <c r="I20" i="30"/>
  <c r="J20" i="30" s="1"/>
  <c r="H20" i="30"/>
  <c r="I357" i="30"/>
  <c r="J357" i="30" s="1"/>
  <c r="G198" i="30"/>
  <c r="F198" i="30"/>
  <c r="G193" i="30"/>
  <c r="F193" i="30"/>
  <c r="G205" i="30"/>
  <c r="F205" i="30"/>
  <c r="I173" i="30"/>
  <c r="J173" i="30" s="1"/>
  <c r="I53" i="30"/>
  <c r="J53" i="30" s="1"/>
  <c r="G129" i="30"/>
  <c r="F129" i="30"/>
  <c r="G228" i="30"/>
  <c r="F228" i="30"/>
  <c r="G125" i="30"/>
  <c r="F125" i="30"/>
  <c r="G128" i="30"/>
  <c r="F128" i="30"/>
  <c r="I81" i="30"/>
  <c r="J81" i="30" s="1"/>
  <c r="I255" i="30"/>
  <c r="J255" i="30" s="1"/>
  <c r="I204" i="30"/>
  <c r="J204" i="30" s="1"/>
  <c r="G59" i="30"/>
  <c r="I59" i="30" s="1"/>
  <c r="J59" i="30" s="1"/>
  <c r="F59" i="30"/>
  <c r="I221" i="30"/>
  <c r="J221" i="30" s="1"/>
  <c r="I121" i="30"/>
  <c r="J121" i="30" s="1"/>
  <c r="I162" i="30"/>
  <c r="J162" i="30" s="1"/>
  <c r="I281" i="30"/>
  <c r="J281" i="30" s="1"/>
  <c r="I248" i="30"/>
  <c r="J248" i="30" s="1"/>
  <c r="G248" i="30"/>
  <c r="F248" i="30"/>
  <c r="G219" i="30"/>
  <c r="I219" i="30" s="1"/>
  <c r="J219" i="30" s="1"/>
  <c r="F219" i="30"/>
  <c r="I58" i="30"/>
  <c r="J58" i="30" s="1"/>
  <c r="H58" i="30"/>
  <c r="F58" i="30"/>
  <c r="I56" i="30"/>
  <c r="J56" i="30" s="1"/>
  <c r="H47" i="30"/>
  <c r="I47" i="30" s="1"/>
  <c r="J47" i="30" s="1"/>
  <c r="H100" i="30"/>
  <c r="I100" i="30" s="1"/>
  <c r="J100" i="30" s="1"/>
  <c r="G349" i="30"/>
  <c r="I349" i="30" s="1"/>
  <c r="J349" i="30" s="1"/>
  <c r="F349" i="30"/>
  <c r="I343" i="30"/>
  <c r="J343" i="30" s="1"/>
  <c r="H343" i="30"/>
  <c r="F343" i="30"/>
  <c r="G246" i="30"/>
  <c r="I246" i="30" s="1"/>
  <c r="J246" i="30" s="1"/>
  <c r="F246" i="30"/>
  <c r="I303" i="30"/>
  <c r="J303" i="30" s="1"/>
  <c r="I329" i="30"/>
  <c r="J329" i="30"/>
  <c r="I132" i="30"/>
  <c r="J132" i="30" s="1"/>
  <c r="I28" i="30"/>
  <c r="J28" i="30" s="1"/>
  <c r="I185" i="30"/>
  <c r="J185" i="30" s="1"/>
  <c r="H35" i="30"/>
  <c r="I35" i="30" s="1"/>
  <c r="J35" i="30" s="1"/>
  <c r="J223" i="30"/>
  <c r="I223" i="30"/>
  <c r="G111" i="30"/>
  <c r="I111" i="30" s="1"/>
  <c r="F111" i="30"/>
  <c r="I191" i="30"/>
  <c r="J191" i="30" s="1"/>
  <c r="I68" i="30"/>
  <c r="J68" i="30" s="1"/>
  <c r="H272" i="30"/>
  <c r="I272" i="30"/>
  <c r="J272" i="30" s="1"/>
  <c r="G226" i="30"/>
  <c r="F226" i="30"/>
  <c r="G320" i="30"/>
  <c r="F320" i="30"/>
  <c r="I143" i="30"/>
  <c r="J143" i="30" s="1"/>
  <c r="I137" i="30"/>
  <c r="J137" i="30" s="1"/>
  <c r="H259" i="30"/>
  <c r="I259" i="30" s="1"/>
  <c r="J259" i="30" s="1"/>
  <c r="I80" i="30"/>
  <c r="J80" i="30" s="1"/>
  <c r="I142" i="30"/>
  <c r="J142" i="30"/>
  <c r="I355" i="30"/>
  <c r="J355" i="30" s="1"/>
  <c r="I229" i="30"/>
  <c r="J229" i="30"/>
  <c r="I261" i="30"/>
  <c r="J261" i="30" s="1"/>
  <c r="I318" i="30"/>
  <c r="J318" i="30"/>
  <c r="I134" i="30"/>
  <c r="J134" i="30" s="1"/>
  <c r="G302" i="30"/>
  <c r="I302" i="30" s="1"/>
  <c r="F302" i="30"/>
  <c r="G71" i="30"/>
  <c r="I71" i="30" s="1"/>
  <c r="F71" i="30"/>
  <c r="I275" i="30"/>
  <c r="J275" i="30" s="1"/>
  <c r="I195" i="30"/>
  <c r="J195" i="30" s="1"/>
  <c r="I120" i="30"/>
  <c r="J120" i="30" s="1"/>
  <c r="I267" i="30"/>
  <c r="J267" i="30" s="1"/>
  <c r="I45" i="30"/>
  <c r="J45" i="30" s="1"/>
  <c r="I323" i="30"/>
  <c r="J323" i="30" s="1"/>
  <c r="I133" i="30"/>
  <c r="J133" i="30" s="1"/>
  <c r="I79" i="30"/>
  <c r="J79" i="30" s="1"/>
  <c r="G6" i="30"/>
  <c r="I6" i="30" s="1"/>
  <c r="F6" i="30"/>
  <c r="H240" i="30"/>
  <c r="I240" i="30" s="1"/>
  <c r="J240" i="30" s="1"/>
  <c r="I274" i="30"/>
  <c r="J274" i="30" s="1"/>
  <c r="I263" i="30"/>
  <c r="J263" i="30" s="1"/>
  <c r="I46" i="30"/>
  <c r="J46" i="30"/>
  <c r="I231" i="30"/>
  <c r="J231" i="30" s="1"/>
  <c r="I117" i="30"/>
  <c r="J117" i="30" s="1"/>
  <c r="I96" i="30"/>
  <c r="J96" i="30" s="1"/>
  <c r="I172" i="30"/>
  <c r="J172" i="30" s="1"/>
  <c r="G159" i="30"/>
  <c r="I159" i="30" s="1"/>
  <c r="J159" i="30" s="1"/>
  <c r="F159" i="30"/>
  <c r="I127" i="30"/>
  <c r="J127" i="30" s="1"/>
  <c r="I92" i="30"/>
  <c r="J92" i="30"/>
  <c r="G49" i="30"/>
  <c r="I49" i="30" s="1"/>
  <c r="J49" i="30" s="1"/>
  <c r="F49" i="30"/>
  <c r="I44" i="30"/>
  <c r="J44" i="30" s="1"/>
  <c r="H48" i="30"/>
  <c r="I48" i="30"/>
  <c r="J48" i="30" s="1"/>
  <c r="I69" i="30"/>
  <c r="J69" i="30" s="1"/>
  <c r="I283" i="30"/>
  <c r="J283" i="30" s="1"/>
  <c r="J254" i="30"/>
  <c r="I254" i="30"/>
  <c r="I43" i="30"/>
  <c r="J43" i="30" s="1"/>
  <c r="I175" i="30"/>
  <c r="J175" i="30" s="1"/>
  <c r="I26" i="30"/>
  <c r="J26" i="30" s="1"/>
  <c r="I217" i="30"/>
  <c r="J217" i="30" s="1"/>
  <c r="I184" i="30"/>
  <c r="J184" i="30" s="1"/>
  <c r="H151" i="30"/>
  <c r="I151" i="30" s="1"/>
  <c r="J151" i="30" s="1"/>
  <c r="I108" i="30"/>
  <c r="J108" i="30" s="1"/>
  <c r="H34" i="30"/>
  <c r="I34" i="30" s="1"/>
  <c r="J34" i="30" s="1"/>
  <c r="I119" i="30"/>
  <c r="J119" i="30" s="1"/>
  <c r="H332" i="30"/>
  <c r="I332" i="30" s="1"/>
  <c r="J332" i="30" s="1"/>
  <c r="I227" i="30"/>
  <c r="J227" i="30" s="1"/>
  <c r="I245" i="30"/>
  <c r="J245" i="30" s="1"/>
  <c r="I99" i="30"/>
  <c r="J99" i="30" s="1"/>
  <c r="I216" i="30"/>
  <c r="J216" i="30" s="1"/>
  <c r="I225" i="30"/>
  <c r="J225" i="30" s="1"/>
  <c r="G113" i="30"/>
  <c r="I113" i="30" s="1"/>
  <c r="J113" i="30" s="1"/>
  <c r="F113" i="30"/>
  <c r="I289" i="30"/>
  <c r="J289" i="30" s="1"/>
  <c r="G289" i="30"/>
  <c r="F289" i="30"/>
  <c r="I75" i="30"/>
  <c r="J75" i="30" s="1"/>
  <c r="I294" i="30"/>
  <c r="J294" i="30" s="1"/>
  <c r="I270" i="30"/>
  <c r="J270" i="30" s="1"/>
  <c r="I105" i="30"/>
  <c r="J105" i="30" s="1"/>
  <c r="I327" i="30"/>
  <c r="J327" i="30" s="1"/>
  <c r="G136" i="30"/>
  <c r="F136" i="30"/>
  <c r="G336" i="30"/>
  <c r="F336" i="30"/>
  <c r="I194" i="30"/>
  <c r="J194" i="30" s="1"/>
  <c r="I331" i="30"/>
  <c r="J331" i="30" s="1"/>
  <c r="I214" i="30"/>
  <c r="J214" i="30" s="1"/>
  <c r="I78" i="30"/>
  <c r="J78" i="30" s="1"/>
  <c r="I253" i="30"/>
  <c r="J253" i="30" s="1"/>
  <c r="I196" i="30"/>
  <c r="J196" i="30" s="1"/>
  <c r="I131" i="30"/>
  <c r="J131" i="30" s="1"/>
  <c r="I24" i="30"/>
  <c r="J24" i="30" s="1"/>
  <c r="G306" i="30"/>
  <c r="F306" i="30"/>
  <c r="H271" i="30"/>
  <c r="I271" i="30" s="1"/>
  <c r="J271" i="30" s="1"/>
  <c r="F271" i="30"/>
  <c r="I178" i="30"/>
  <c r="J178" i="30" s="1"/>
  <c r="G88" i="30"/>
  <c r="I88" i="30" s="1"/>
  <c r="F88" i="30"/>
  <c r="I109" i="30"/>
  <c r="J109" i="30" s="1"/>
  <c r="H341" i="30"/>
  <c r="I341" i="30" s="1"/>
  <c r="J341" i="30" s="1"/>
  <c r="I11" i="30"/>
  <c r="G11" i="30"/>
  <c r="J11" i="30" s="1"/>
  <c r="F11" i="30"/>
  <c r="I180" i="30"/>
  <c r="J180" i="30" s="1"/>
  <c r="H180" i="30"/>
  <c r="G236" i="30"/>
  <c r="I236" i="30" s="1"/>
  <c r="F236" i="30"/>
  <c r="H147" i="30"/>
  <c r="I147" i="30" s="1"/>
  <c r="J147" i="30" s="1"/>
  <c r="F147" i="30"/>
  <c r="I146" i="30"/>
  <c r="J146" i="30" s="1"/>
  <c r="J7" i="30"/>
  <c r="I7" i="30"/>
  <c r="I22" i="30"/>
  <c r="J22" i="30" s="1"/>
  <c r="I57" i="30"/>
  <c r="J57" i="30" s="1"/>
  <c r="G304" i="30"/>
  <c r="F304" i="30"/>
  <c r="I297" i="30"/>
  <c r="J297" i="30" s="1"/>
  <c r="J252" i="30"/>
  <c r="I252" i="30"/>
  <c r="I52" i="30"/>
  <c r="J52" i="30" s="1"/>
  <c r="J130" i="30"/>
  <c r="I130" i="30"/>
  <c r="I183" i="30"/>
  <c r="J183" i="30" s="1"/>
  <c r="I309" i="30"/>
  <c r="J309" i="30" s="1"/>
  <c r="I307" i="30"/>
  <c r="J307" i="30"/>
  <c r="I21" i="30"/>
  <c r="J21" i="30" s="1"/>
  <c r="H114" i="30"/>
  <c r="I114" i="30" s="1"/>
  <c r="J114" i="30" s="1"/>
  <c r="F114" i="30"/>
  <c r="H348" i="30"/>
  <c r="I348" i="30" s="1"/>
  <c r="J348" i="30" s="1"/>
  <c r="G112" i="30"/>
  <c r="I112" i="30" s="1"/>
  <c r="F112" i="30"/>
  <c r="I268" i="30"/>
  <c r="J268" i="30" s="1"/>
  <c r="I158" i="30"/>
  <c r="J158" i="30" s="1"/>
  <c r="I258" i="30"/>
  <c r="J258" i="30" s="1"/>
  <c r="I269" i="30"/>
  <c r="J269" i="30" s="1"/>
  <c r="G104" i="30"/>
  <c r="I104" i="30" s="1"/>
  <c r="F104" i="30"/>
  <c r="H103" i="30"/>
  <c r="I103" i="30"/>
  <c r="J103" i="30" s="1"/>
  <c r="I91" i="30"/>
  <c r="J91" i="30" s="1"/>
  <c r="I260" i="30"/>
  <c r="J260" i="30"/>
  <c r="I262" i="30"/>
  <c r="J262" i="30"/>
  <c r="G41" i="30"/>
  <c r="I41" i="30" s="1"/>
  <c r="F41" i="30"/>
  <c r="I74" i="30"/>
  <c r="J74" i="30"/>
  <c r="H243" i="30"/>
  <c r="I243" i="30" s="1"/>
  <c r="J243" i="30"/>
  <c r="F243" i="30"/>
  <c r="G299" i="30"/>
  <c r="I299" i="30" s="1"/>
  <c r="F299" i="30"/>
  <c r="I97" i="30"/>
  <c r="J97" i="30" s="1"/>
  <c r="I339" i="30"/>
  <c r="J339" i="30"/>
  <c r="I347" i="30"/>
  <c r="J347" i="30" s="1"/>
  <c r="G182" i="30"/>
  <c r="I182" i="30" s="1"/>
  <c r="F182" i="30"/>
  <c r="G29" i="30"/>
  <c r="I29" i="30" s="1"/>
  <c r="F29" i="30"/>
  <c r="H63" i="30"/>
  <c r="I63" i="30" s="1"/>
  <c r="J63" i="30" s="1"/>
  <c r="I346" i="30"/>
  <c r="J346" i="30"/>
  <c r="I296" i="30"/>
  <c r="J296" i="30"/>
  <c r="I295" i="30"/>
  <c r="J295" i="30"/>
  <c r="I67" i="30"/>
  <c r="J67" i="30" s="1"/>
  <c r="I152" i="30"/>
  <c r="J152" i="30" s="1"/>
  <c r="I14" i="30"/>
  <c r="J14" i="30" s="1"/>
  <c r="I31" i="30"/>
  <c r="J31" i="30" s="1"/>
  <c r="I60" i="30"/>
  <c r="J60" i="30" s="1"/>
  <c r="I139" i="30"/>
  <c r="J139" i="30"/>
  <c r="I138" i="30"/>
  <c r="J138" i="30"/>
  <c r="I140" i="30"/>
  <c r="J140" i="30"/>
  <c r="I141" i="30"/>
  <c r="J141" i="30" s="1"/>
  <c r="I174" i="30"/>
  <c r="J174" i="30" s="1"/>
  <c r="I179" i="30"/>
  <c r="J179" i="30" s="1"/>
  <c r="I181" i="30"/>
  <c r="J181" i="30"/>
  <c r="I210" i="30"/>
  <c r="J210" i="30" s="1"/>
  <c r="I209" i="30"/>
  <c r="J209" i="30" s="1"/>
  <c r="I208" i="30"/>
  <c r="J208" i="30"/>
  <c r="I222" i="30"/>
  <c r="J222" i="30" s="1"/>
  <c r="I241" i="30"/>
  <c r="J241" i="30" s="1"/>
  <c r="I247" i="30"/>
  <c r="J247" i="30"/>
  <c r="I280" i="30"/>
  <c r="J280" i="30" s="1"/>
  <c r="I350" i="30"/>
  <c r="J350" i="30" s="1"/>
  <c r="I352" i="30"/>
  <c r="J352" i="30" s="1"/>
  <c r="I351" i="30"/>
  <c r="J351" i="30"/>
  <c r="I54" i="30"/>
  <c r="J54" i="30"/>
  <c r="I322" i="30"/>
  <c r="J322" i="30"/>
  <c r="I36" i="30"/>
  <c r="J36" i="30" s="1"/>
  <c r="I62" i="30"/>
  <c r="J62" i="30" s="1"/>
  <c r="I212" i="30"/>
  <c r="J212" i="30" s="1"/>
  <c r="I10" i="30"/>
  <c r="J10" i="30" s="1"/>
  <c r="I354" i="30"/>
  <c r="J354" i="30" s="1"/>
  <c r="G206" i="30"/>
  <c r="F206" i="30"/>
  <c r="I38" i="30"/>
  <c r="J38" i="30"/>
  <c r="I90" i="30"/>
  <c r="J90" i="30" s="1"/>
  <c r="I101" i="30"/>
  <c r="J101" i="30" s="1"/>
  <c r="I334" i="30"/>
  <c r="J334" i="30" s="1"/>
  <c r="H150" i="30"/>
  <c r="I150" i="30" s="1"/>
  <c r="J150" i="30" s="1"/>
  <c r="I157" i="30"/>
  <c r="J157" i="30" s="1"/>
  <c r="I328" i="30"/>
  <c r="J328" i="30"/>
  <c r="I298" i="30"/>
  <c r="J298" i="30" s="1"/>
  <c r="I190" i="30"/>
  <c r="J190" i="30"/>
  <c r="I282" i="30"/>
  <c r="J282" i="30" s="1"/>
  <c r="I244" i="30"/>
  <c r="J244" i="30"/>
  <c r="I165" i="30"/>
  <c r="J165" i="30" s="1"/>
  <c r="I238" i="30"/>
  <c r="G238" i="30"/>
  <c r="F238" i="30"/>
  <c r="G76" i="30"/>
  <c r="F76" i="30"/>
  <c r="I33" i="30"/>
  <c r="J33" i="30"/>
  <c r="I203" i="30"/>
  <c r="J203" i="30"/>
  <c r="I3" i="30"/>
  <c r="J3" i="30"/>
  <c r="I169" i="30"/>
  <c r="J169" i="30" s="1"/>
  <c r="I167" i="30"/>
  <c r="G167" i="30"/>
  <c r="F167" i="30"/>
  <c r="G192" i="30"/>
  <c r="F192" i="30"/>
  <c r="I293" i="30"/>
  <c r="J293" i="30" s="1"/>
  <c r="I77" i="30"/>
  <c r="J77" i="30" s="1"/>
  <c r="I324" i="30"/>
  <c r="J324" i="30" s="1"/>
  <c r="I156" i="30"/>
  <c r="J156" i="30" s="1"/>
  <c r="G213" i="30"/>
  <c r="F213" i="30"/>
  <c r="I276" i="30"/>
  <c r="J276" i="30" s="1"/>
  <c r="I87" i="30"/>
  <c r="J87" i="30" s="1"/>
  <c r="I249" i="30"/>
  <c r="J249" i="30" s="1"/>
  <c r="I107" i="30"/>
  <c r="J107" i="30" s="1"/>
  <c r="I42" i="30"/>
  <c r="J42" i="30" s="1"/>
  <c r="I168" i="30"/>
  <c r="J168" i="30" s="1"/>
  <c r="G342" i="30"/>
  <c r="F342" i="30"/>
  <c r="I218" i="30"/>
  <c r="J218" i="30" s="1"/>
  <c r="G235" i="30"/>
  <c r="I235" i="30"/>
  <c r="F235" i="30"/>
  <c r="I311" i="30"/>
  <c r="J311" i="30" s="1"/>
  <c r="J310" i="30"/>
  <c r="I310" i="30"/>
  <c r="I171" i="30"/>
  <c r="J171" i="30" s="1"/>
  <c r="I148" i="30"/>
  <c r="J148" i="30" s="1"/>
  <c r="H148" i="30"/>
  <c r="F148" i="30"/>
  <c r="I40" i="30"/>
  <c r="J40" i="30" s="1"/>
  <c r="I154" i="30"/>
  <c r="J154" i="30" s="1"/>
  <c r="J286" i="30"/>
  <c r="I286" i="30"/>
  <c r="I234" i="30"/>
  <c r="J234" i="30" s="1"/>
  <c r="G317" i="30"/>
  <c r="F317" i="30"/>
  <c r="J163" i="30"/>
  <c r="I163" i="30"/>
  <c r="I207" i="30"/>
  <c r="J207" i="30" s="1"/>
  <c r="J155" i="30"/>
  <c r="I155" i="30"/>
  <c r="I145" i="30"/>
  <c r="J145" i="30" s="1"/>
  <c r="I25" i="30"/>
  <c r="J25" i="30" s="1"/>
  <c r="G25" i="30"/>
  <c r="F25" i="30"/>
  <c r="G9" i="30"/>
  <c r="I9" i="30" s="1"/>
  <c r="J9" i="30" s="1"/>
  <c r="F9" i="30"/>
  <c r="I65" i="30"/>
  <c r="J65" i="30" s="1"/>
  <c r="G65" i="30"/>
  <c r="F65" i="30"/>
  <c r="G5" i="30"/>
  <c r="I5" i="30" s="1"/>
  <c r="J5" i="30" s="1"/>
  <c r="F5" i="30"/>
  <c r="I164" i="30"/>
  <c r="J164" i="30" s="1"/>
  <c r="G239" i="30"/>
  <c r="I239" i="30"/>
  <c r="F239" i="30"/>
  <c r="H84" i="30"/>
  <c r="I84" i="30" s="1"/>
  <c r="J84" i="30" s="1"/>
  <c r="I300" i="30"/>
  <c r="J300" i="30" s="1"/>
  <c r="G290" i="30"/>
  <c r="I290" i="30" s="1"/>
  <c r="F290" i="30"/>
  <c r="I16" i="30"/>
  <c r="J16" i="30" s="1"/>
  <c r="I89" i="30"/>
  <c r="J89" i="30" s="1"/>
  <c r="I266" i="30"/>
  <c r="J266" i="30" s="1"/>
  <c r="I94" i="30"/>
  <c r="J94" i="30" s="1"/>
  <c r="I82" i="30"/>
  <c r="J82" i="30" s="1"/>
  <c r="I314" i="30"/>
  <c r="J314" i="30" s="1"/>
  <c r="G285" i="30"/>
  <c r="I285" i="30" s="1"/>
  <c r="F285" i="30"/>
  <c r="G278" i="30"/>
  <c r="I278" i="30" s="1"/>
  <c r="F278" i="30"/>
  <c r="I356" i="30"/>
  <c r="J356" i="30" s="1"/>
  <c r="J116" i="30"/>
  <c r="I116" i="30"/>
  <c r="G215" i="30"/>
  <c r="I215" i="30" s="1"/>
  <c r="J215" i="30" s="1"/>
  <c r="F215" i="30"/>
  <c r="I86" i="30"/>
  <c r="J86" i="30" s="1"/>
  <c r="I187" i="30"/>
  <c r="J187" i="30" s="1"/>
  <c r="H188" i="30"/>
  <c r="I188" i="30" s="1"/>
  <c r="J188" i="30" s="1"/>
  <c r="F188" i="30"/>
  <c r="H242" i="30"/>
  <c r="I242" i="30" s="1"/>
  <c r="J242" i="30" s="1"/>
  <c r="F242" i="30"/>
  <c r="H110" i="30"/>
  <c r="I110" i="30" s="1"/>
  <c r="J110" i="30" s="1"/>
  <c r="F110" i="30"/>
  <c r="H30" i="30"/>
  <c r="I30" i="30" s="1"/>
  <c r="J30" i="30" s="1"/>
  <c r="F30" i="30"/>
  <c r="I93" i="30"/>
  <c r="J93" i="30"/>
  <c r="G102" i="30"/>
  <c r="F102" i="30"/>
  <c r="G220" i="30"/>
  <c r="F220" i="30"/>
  <c r="I277" i="30"/>
  <c r="J277" i="30" s="1"/>
  <c r="I291" i="30"/>
  <c r="J291" i="30"/>
  <c r="G224" i="30"/>
  <c r="F224" i="30"/>
  <c r="G83" i="30"/>
  <c r="F83" i="30"/>
  <c r="G72" i="30"/>
  <c r="F72" i="30"/>
  <c r="I287" i="30"/>
  <c r="J287" i="30" s="1"/>
  <c r="I98" i="30"/>
  <c r="J98" i="30" s="1"/>
  <c r="J251" i="30"/>
  <c r="I251" i="30"/>
  <c r="H19" i="30"/>
  <c r="I19" i="30" s="1"/>
  <c r="J19" i="30" s="1"/>
  <c r="I237" i="30"/>
  <c r="J237" i="30"/>
  <c r="I12" i="30"/>
  <c r="J12" i="30"/>
  <c r="G186" i="30"/>
  <c r="I186" i="30"/>
  <c r="F186" i="30"/>
  <c r="G337" i="30"/>
  <c r="I337" i="30" s="1"/>
  <c r="F337" i="30"/>
  <c r="O118" i="30"/>
  <c r="O361" i="30" s="1"/>
  <c r="G118" i="30"/>
  <c r="I118" i="30" s="1"/>
  <c r="F118" i="30"/>
  <c r="H331" i="29"/>
  <c r="I331" i="29" s="1"/>
  <c r="J331" i="29" s="1"/>
  <c r="H282" i="21"/>
  <c r="S361" i="29"/>
  <c r="R361" i="29"/>
  <c r="Q361" i="29"/>
  <c r="P361" i="29"/>
  <c r="J283" i="29"/>
  <c r="I283" i="29"/>
  <c r="G282" i="29"/>
  <c r="F282" i="29"/>
  <c r="I281" i="29"/>
  <c r="J281" i="29" s="1"/>
  <c r="G280" i="29"/>
  <c r="I280" i="29"/>
  <c r="J280" i="29" s="1"/>
  <c r="F280" i="29"/>
  <c r="G264" i="29"/>
  <c r="I264" i="29"/>
  <c r="J264" i="29" s="1"/>
  <c r="F264" i="29"/>
  <c r="I101" i="29"/>
  <c r="J101" i="29"/>
  <c r="I279" i="29"/>
  <c r="J279" i="29" s="1"/>
  <c r="G263" i="29"/>
  <c r="F263" i="29"/>
  <c r="G100" i="29"/>
  <c r="F100" i="29"/>
  <c r="G99" i="29"/>
  <c r="F99" i="29"/>
  <c r="H278" i="29"/>
  <c r="I278" i="29" s="1"/>
  <c r="J278" i="29" s="1"/>
  <c r="G98" i="29"/>
  <c r="I98" i="29" s="1"/>
  <c r="F98" i="29"/>
  <c r="G335" i="29"/>
  <c r="I335" i="29" s="1"/>
  <c r="F335" i="29"/>
  <c r="I344" i="29"/>
  <c r="J344" i="29" s="1"/>
  <c r="I277" i="29"/>
  <c r="J277" i="29" s="1"/>
  <c r="I251" i="29"/>
  <c r="J251" i="29" s="1"/>
  <c r="G97" i="29"/>
  <c r="F97" i="29"/>
  <c r="I48" i="29"/>
  <c r="J48" i="29" s="1"/>
  <c r="I209" i="29"/>
  <c r="J209" i="29" s="1"/>
  <c r="G208" i="29"/>
  <c r="F208" i="29"/>
  <c r="I207" i="29"/>
  <c r="J207" i="29"/>
  <c r="I300" i="29"/>
  <c r="J300" i="29"/>
  <c r="I250" i="29"/>
  <c r="J250" i="29"/>
  <c r="I206" i="29"/>
  <c r="J206" i="29"/>
  <c r="I343" i="29"/>
  <c r="J343" i="29"/>
  <c r="I249" i="29"/>
  <c r="J249" i="29"/>
  <c r="I310" i="29"/>
  <c r="J310" i="29"/>
  <c r="I47" i="29"/>
  <c r="J47" i="29"/>
  <c r="I46" i="29"/>
  <c r="J46" i="29"/>
  <c r="I45" i="29"/>
  <c r="J45" i="29"/>
  <c r="G265" i="29"/>
  <c r="F265" i="29"/>
  <c r="I248" i="29"/>
  <c r="J248" i="29"/>
  <c r="I334" i="29"/>
  <c r="J334" i="29"/>
  <c r="I276" i="29"/>
  <c r="J276" i="29"/>
  <c r="I44" i="29"/>
  <c r="J44" i="29"/>
  <c r="H12" i="29"/>
  <c r="I12" i="29"/>
  <c r="J12" i="29" s="1"/>
  <c r="F12" i="29"/>
  <c r="I275" i="29"/>
  <c r="J275" i="29"/>
  <c r="I274" i="29"/>
  <c r="J274" i="29"/>
  <c r="I273" i="29"/>
  <c r="J273" i="29"/>
  <c r="I320" i="29"/>
  <c r="J320" i="29"/>
  <c r="I205" i="29"/>
  <c r="J205" i="29" s="1"/>
  <c r="I272" i="29"/>
  <c r="J272" i="29" s="1"/>
  <c r="I333" i="29"/>
  <c r="J333" i="29" s="1"/>
  <c r="I271" i="29"/>
  <c r="J271" i="29" s="1"/>
  <c r="G270" i="29"/>
  <c r="F270" i="29"/>
  <c r="I309" i="29"/>
  <c r="J309" i="29" s="1"/>
  <c r="I269" i="29"/>
  <c r="J269" i="29" s="1"/>
  <c r="I308" i="29"/>
  <c r="J308" i="29" s="1"/>
  <c r="I174" i="29"/>
  <c r="J174" i="29" s="1"/>
  <c r="I247" i="29"/>
  <c r="J247" i="29" s="1"/>
  <c r="I43" i="29"/>
  <c r="J43" i="29" s="1"/>
  <c r="I246" i="29"/>
  <c r="J246" i="29"/>
  <c r="I268" i="29"/>
  <c r="J268" i="29"/>
  <c r="H42" i="29"/>
  <c r="I42" i="29"/>
  <c r="J42" i="29" s="1"/>
  <c r="H204" i="29"/>
  <c r="I204" i="29"/>
  <c r="J204" i="29" s="1"/>
  <c r="F204" i="29"/>
  <c r="H203" i="29"/>
  <c r="I203" i="29" s="1"/>
  <c r="J203" i="29" s="1"/>
  <c r="F203" i="29"/>
  <c r="G262" i="29"/>
  <c r="F262" i="29"/>
  <c r="G261" i="29"/>
  <c r="F261" i="29"/>
  <c r="G260" i="29"/>
  <c r="F260" i="29"/>
  <c r="I202" i="29"/>
  <c r="J202" i="29" s="1"/>
  <c r="I201" i="29"/>
  <c r="J201" i="29" s="1"/>
  <c r="I200" i="29"/>
  <c r="G200" i="29"/>
  <c r="F200" i="29"/>
  <c r="I245" i="29"/>
  <c r="J245" i="29" s="1"/>
  <c r="I244" i="29"/>
  <c r="J244" i="29" s="1"/>
  <c r="H356" i="29"/>
  <c r="I356" i="29" s="1"/>
  <c r="J356" i="29" s="1"/>
  <c r="I259" i="29"/>
  <c r="J259" i="29" s="1"/>
  <c r="G199" i="29"/>
  <c r="F199" i="29"/>
  <c r="G198" i="29"/>
  <c r="F198" i="29"/>
  <c r="G197" i="29"/>
  <c r="F197" i="29"/>
  <c r="H96" i="29"/>
  <c r="I96" i="29" s="1"/>
  <c r="J96" i="29" s="1"/>
  <c r="F96" i="29"/>
  <c r="I342" i="29"/>
  <c r="J342" i="29" s="1"/>
  <c r="H332" i="29"/>
  <c r="I332" i="29" s="1"/>
  <c r="J332" i="29" s="1"/>
  <c r="I196" i="29"/>
  <c r="J196" i="29" s="1"/>
  <c r="J298" i="29"/>
  <c r="H298" i="29"/>
  <c r="I298" i="29" s="1"/>
  <c r="H297" i="29"/>
  <c r="I297" i="29" s="1"/>
  <c r="J297" i="29" s="1"/>
  <c r="I243" i="29"/>
  <c r="J243" i="29" s="1"/>
  <c r="H61" i="29"/>
  <c r="I61" i="29" s="1"/>
  <c r="J61" i="29" s="1"/>
  <c r="F61" i="29"/>
  <c r="I75" i="29"/>
  <c r="J75" i="29" s="1"/>
  <c r="G267" i="29"/>
  <c r="F267" i="29"/>
  <c r="G266" i="29"/>
  <c r="F266" i="29"/>
  <c r="G95" i="29"/>
  <c r="F95" i="29"/>
  <c r="I41" i="29"/>
  <c r="J41" i="29" s="1"/>
  <c r="I242" i="29"/>
  <c r="J242" i="29" s="1"/>
  <c r="G94" i="29"/>
  <c r="F94" i="29"/>
  <c r="G307" i="29"/>
  <c r="F307" i="29"/>
  <c r="G241" i="29"/>
  <c r="F241" i="29"/>
  <c r="G240" i="29"/>
  <c r="F240" i="29"/>
  <c r="I40" i="29"/>
  <c r="J40" i="29" s="1"/>
  <c r="I39" i="29"/>
  <c r="J39" i="29" s="1"/>
  <c r="I139" i="29"/>
  <c r="J139" i="29" s="1"/>
  <c r="G93" i="29"/>
  <c r="I93" i="29" s="1"/>
  <c r="F93" i="29"/>
  <c r="I299" i="29"/>
  <c r="J299" i="29" s="1"/>
  <c r="I138" i="29"/>
  <c r="J138" i="29" s="1"/>
  <c r="I195" i="29"/>
  <c r="J195" i="29" s="1"/>
  <c r="I296" i="29"/>
  <c r="J296" i="29" s="1"/>
  <c r="G194" i="29"/>
  <c r="I194" i="29" s="1"/>
  <c r="J194" i="29"/>
  <c r="F194" i="29"/>
  <c r="G193" i="29"/>
  <c r="I193" i="29" s="1"/>
  <c r="F193" i="29"/>
  <c r="H11" i="29"/>
  <c r="I11" i="29" s="1"/>
  <c r="J11" i="29" s="1"/>
  <c r="F11" i="29"/>
  <c r="I192" i="29"/>
  <c r="J192" i="29" s="1"/>
  <c r="H191" i="29"/>
  <c r="I191" i="29"/>
  <c r="J191" i="29" s="1"/>
  <c r="H74" i="29"/>
  <c r="I74" i="29"/>
  <c r="J74" i="29" s="1"/>
  <c r="G92" i="29"/>
  <c r="F92" i="29"/>
  <c r="H190" i="29"/>
  <c r="I190" i="29" s="1"/>
  <c r="J190" i="29" s="1"/>
  <c r="F190" i="29"/>
  <c r="G189" i="29"/>
  <c r="I189" i="29" s="1"/>
  <c r="J189" i="29"/>
  <c r="F189" i="29"/>
  <c r="J10" i="29"/>
  <c r="I10" i="29"/>
  <c r="I341" i="29"/>
  <c r="J341" i="29" s="1"/>
  <c r="I188" i="29"/>
  <c r="J188" i="29" s="1"/>
  <c r="I295" i="29"/>
  <c r="J295" i="29" s="1"/>
  <c r="I351" i="29"/>
  <c r="J351" i="29" s="1"/>
  <c r="H319" i="29"/>
  <c r="I319" i="29"/>
  <c r="J319" i="29" s="1"/>
  <c r="I49" i="29"/>
  <c r="J49" i="29"/>
  <c r="G306" i="29"/>
  <c r="I306" i="29" s="1"/>
  <c r="F306" i="29"/>
  <c r="I137" i="29"/>
  <c r="J137" i="29"/>
  <c r="I136" i="29"/>
  <c r="J136" i="29" s="1"/>
  <c r="H38" i="29"/>
  <c r="I38" i="29" s="1"/>
  <c r="J38" i="29" s="1"/>
  <c r="G330" i="29"/>
  <c r="F330" i="29"/>
  <c r="G329" i="29"/>
  <c r="F329" i="29"/>
  <c r="I37" i="29"/>
  <c r="J37" i="29"/>
  <c r="I294" i="29"/>
  <c r="J294" i="29"/>
  <c r="H135" i="29"/>
  <c r="I135" i="29"/>
  <c r="J135" i="29" s="1"/>
  <c r="I36" i="29"/>
  <c r="J36" i="29" s="1"/>
  <c r="I35" i="29"/>
  <c r="J35" i="29" s="1"/>
  <c r="J134" i="29"/>
  <c r="I134" i="29"/>
  <c r="I239" i="29"/>
  <c r="J239" i="29" s="1"/>
  <c r="J238" i="29"/>
  <c r="I238" i="29"/>
  <c r="I91" i="29"/>
  <c r="J91" i="29" s="1"/>
  <c r="I34" i="29"/>
  <c r="J34" i="29" s="1"/>
  <c r="G187" i="29"/>
  <c r="I187" i="29" s="1"/>
  <c r="F187" i="29"/>
  <c r="G186" i="29"/>
  <c r="I186" i="29"/>
  <c r="F186" i="29"/>
  <c r="I173" i="29"/>
  <c r="J173" i="29" s="1"/>
  <c r="I237" i="29"/>
  <c r="J237" i="29"/>
  <c r="I236" i="29"/>
  <c r="J236" i="29" s="1"/>
  <c r="I312" i="29"/>
  <c r="J312" i="29" s="1"/>
  <c r="I133" i="29"/>
  <c r="J133" i="29" s="1"/>
  <c r="I140" i="29"/>
  <c r="J140" i="29" s="1"/>
  <c r="I33" i="29"/>
  <c r="J33" i="29" s="1"/>
  <c r="I32" i="29"/>
  <c r="J32" i="29" s="1"/>
  <c r="G350" i="29"/>
  <c r="I350" i="29" s="1"/>
  <c r="F350" i="29"/>
  <c r="H235" i="29"/>
  <c r="I235" i="29" s="1"/>
  <c r="J235" i="29" s="1"/>
  <c r="J234" i="29"/>
  <c r="I234" i="29"/>
  <c r="I233" i="29"/>
  <c r="J233" i="29" s="1"/>
  <c r="I232" i="29"/>
  <c r="J232" i="29"/>
  <c r="I231" i="29"/>
  <c r="J231" i="29" s="1"/>
  <c r="I132" i="29"/>
  <c r="J132" i="29" s="1"/>
  <c r="I131" i="29"/>
  <c r="J131" i="29" s="1"/>
  <c r="I31" i="29"/>
  <c r="J31" i="29" s="1"/>
  <c r="G90" i="29"/>
  <c r="I90" i="29" s="1"/>
  <c r="F90" i="29"/>
  <c r="I30" i="29"/>
  <c r="J30" i="29" s="1"/>
  <c r="I185" i="29"/>
  <c r="J185" i="29" s="1"/>
  <c r="G184" i="29"/>
  <c r="F184" i="29"/>
  <c r="I130" i="29"/>
  <c r="J130" i="29" s="1"/>
  <c r="H230" i="29"/>
  <c r="I230" i="29" s="1"/>
  <c r="J230" i="29" s="1"/>
  <c r="I229" i="29"/>
  <c r="J229" i="29" s="1"/>
  <c r="I183" i="29"/>
  <c r="J183" i="29" s="1"/>
  <c r="I29" i="29"/>
  <c r="J29" i="29" s="1"/>
  <c r="I328" i="29"/>
  <c r="J328" i="29" s="1"/>
  <c r="I228" i="29"/>
  <c r="J228" i="29" s="1"/>
  <c r="I340" i="29"/>
  <c r="J340" i="29" s="1"/>
  <c r="I349" i="29"/>
  <c r="J349" i="29" s="1"/>
  <c r="I348" i="29"/>
  <c r="J348" i="29" s="1"/>
  <c r="H293" i="29"/>
  <c r="I293" i="29" s="1"/>
  <c r="J293" i="29" s="1"/>
  <c r="I182" i="29"/>
  <c r="J182" i="29" s="1"/>
  <c r="H318" i="29"/>
  <c r="I318" i="29" s="1"/>
  <c r="J318" i="29" s="1"/>
  <c r="I227" i="29"/>
  <c r="J227" i="29" s="1"/>
  <c r="H292" i="29"/>
  <c r="I292" i="29" s="1"/>
  <c r="J292" i="29" s="1"/>
  <c r="I129" i="29"/>
  <c r="J129" i="29" s="1"/>
  <c r="I128" i="29"/>
  <c r="J128" i="29" s="1"/>
  <c r="I73" i="29"/>
  <c r="J73" i="29" s="1"/>
  <c r="I291" i="29"/>
  <c r="J291" i="29" s="1"/>
  <c r="I58" i="29"/>
  <c r="J58" i="29" s="1"/>
  <c r="G347" i="29"/>
  <c r="F347" i="29"/>
  <c r="G127" i="29"/>
  <c r="I127" i="29" s="1"/>
  <c r="F127" i="29"/>
  <c r="I226" i="29"/>
  <c r="J226" i="29" s="1"/>
  <c r="I72" i="29"/>
  <c r="J72" i="29" s="1"/>
  <c r="I126" i="29"/>
  <c r="J126" i="29"/>
  <c r="I210" i="29"/>
  <c r="J210" i="29" s="1"/>
  <c r="I211" i="29"/>
  <c r="J211" i="29" s="1"/>
  <c r="G89" i="29"/>
  <c r="I89" i="29" s="1"/>
  <c r="F89" i="29"/>
  <c r="G57" i="29"/>
  <c r="I57" i="29" s="1"/>
  <c r="F57" i="29"/>
  <c r="I125" i="29"/>
  <c r="J125" i="29"/>
  <c r="I124" i="29"/>
  <c r="J124" i="29"/>
  <c r="I28" i="29"/>
  <c r="J28" i="29"/>
  <c r="I27" i="29"/>
  <c r="J27" i="29"/>
  <c r="I26" i="29"/>
  <c r="J26" i="29" s="1"/>
  <c r="I25" i="29"/>
  <c r="J25" i="29" s="1"/>
  <c r="I56" i="29"/>
  <c r="J56" i="29"/>
  <c r="I55" i="29"/>
  <c r="J55" i="29" s="1"/>
  <c r="G305" i="29"/>
  <c r="I305" i="29"/>
  <c r="F305" i="29"/>
  <c r="H24" i="29"/>
  <c r="I24" i="29" s="1"/>
  <c r="J24" i="29" s="1"/>
  <c r="F24" i="29"/>
  <c r="I123" i="29"/>
  <c r="J123" i="29" s="1"/>
  <c r="G60" i="29"/>
  <c r="F60" i="29"/>
  <c r="I122" i="29"/>
  <c r="J122" i="29" s="1"/>
  <c r="H172" i="29"/>
  <c r="I172" i="29" s="1"/>
  <c r="J172" i="29" s="1"/>
  <c r="G121" i="29"/>
  <c r="F121" i="29"/>
  <c r="I290" i="29"/>
  <c r="J290" i="29"/>
  <c r="H290" i="29"/>
  <c r="G120" i="29"/>
  <c r="F120" i="29"/>
  <c r="H225" i="29"/>
  <c r="I225" i="29" s="1"/>
  <c r="J225" i="29" s="1"/>
  <c r="F225" i="29"/>
  <c r="I71" i="29"/>
  <c r="J71" i="29" s="1"/>
  <c r="I23" i="29"/>
  <c r="J23" i="29" s="1"/>
  <c r="I224" i="29"/>
  <c r="J224" i="29" s="1"/>
  <c r="I223" i="29"/>
  <c r="J223" i="29" s="1"/>
  <c r="G176" i="29"/>
  <c r="F176" i="29"/>
  <c r="I175" i="29"/>
  <c r="J175" i="29" s="1"/>
  <c r="I22" i="29"/>
  <c r="J22" i="29" s="1"/>
  <c r="I289" i="29"/>
  <c r="J289" i="29" s="1"/>
  <c r="I66" i="29"/>
  <c r="J66" i="29" s="1"/>
  <c r="I304" i="29"/>
  <c r="J304" i="29" s="1"/>
  <c r="I119" i="29"/>
  <c r="J119" i="29" s="1"/>
  <c r="I303" i="29"/>
  <c r="J303" i="29" s="1"/>
  <c r="I321" i="29"/>
  <c r="J321" i="29" s="1"/>
  <c r="H352" i="29"/>
  <c r="I352" i="29" s="1"/>
  <c r="J352" i="29" s="1"/>
  <c r="F352" i="29"/>
  <c r="H288" i="29"/>
  <c r="I288" i="29" s="1"/>
  <c r="J288" i="29" s="1"/>
  <c r="G88" i="29"/>
  <c r="I88" i="29" s="1"/>
  <c r="F88" i="29"/>
  <c r="I287" i="29"/>
  <c r="J287" i="29" s="1"/>
  <c r="I222" i="29"/>
  <c r="J222" i="29" s="1"/>
  <c r="I118" i="29"/>
  <c r="J118" i="29" s="1"/>
  <c r="I21" i="29"/>
  <c r="J21" i="29" s="1"/>
  <c r="G221" i="29"/>
  <c r="I221" i="29" s="1"/>
  <c r="F221" i="29"/>
  <c r="H286" i="29"/>
  <c r="I286" i="29"/>
  <c r="J286" i="29" s="1"/>
  <c r="I117" i="29"/>
  <c r="J117" i="29" s="1"/>
  <c r="I220" i="29"/>
  <c r="J220" i="29" s="1"/>
  <c r="I219" i="29"/>
  <c r="J219" i="29" s="1"/>
  <c r="G327" i="29"/>
  <c r="F327" i="29"/>
  <c r="I20" i="29"/>
  <c r="J20" i="29" s="1"/>
  <c r="H87" i="29"/>
  <c r="I87" i="29" s="1"/>
  <c r="J87" i="29" s="1"/>
  <c r="F87" i="29"/>
  <c r="G59" i="29"/>
  <c r="F59" i="29"/>
  <c r="I54" i="29"/>
  <c r="J54" i="29" s="1"/>
  <c r="I53" i="29"/>
  <c r="J53" i="29" s="1"/>
  <c r="I52" i="29"/>
  <c r="J52" i="29" s="1"/>
  <c r="G116" i="29"/>
  <c r="I116" i="29" s="1"/>
  <c r="F116" i="29"/>
  <c r="G326" i="29"/>
  <c r="I326" i="29"/>
  <c r="F326" i="29"/>
  <c r="H355" i="29"/>
  <c r="I355" i="29" s="1"/>
  <c r="J355" i="29" s="1"/>
  <c r="I285" i="29"/>
  <c r="J285" i="29" s="1"/>
  <c r="I115" i="29"/>
  <c r="J115" i="29"/>
  <c r="I114" i="29"/>
  <c r="J114" i="29" s="1"/>
  <c r="I70" i="29"/>
  <c r="J70" i="29" s="1"/>
  <c r="I171" i="29"/>
  <c r="J171" i="29" s="1"/>
  <c r="I170" i="29"/>
  <c r="J170" i="29"/>
  <c r="I169" i="29"/>
  <c r="J169" i="29" s="1"/>
  <c r="I168" i="29"/>
  <c r="J168" i="29"/>
  <c r="I167" i="29"/>
  <c r="J167" i="29" s="1"/>
  <c r="I166" i="29"/>
  <c r="J166" i="29"/>
  <c r="I165" i="29"/>
  <c r="J165" i="29" s="1"/>
  <c r="I164" i="29"/>
  <c r="J164" i="29" s="1"/>
  <c r="I163" i="29"/>
  <c r="J163" i="29" s="1"/>
  <c r="I162" i="29"/>
  <c r="J162" i="29"/>
  <c r="I161" i="29"/>
  <c r="J161" i="29" s="1"/>
  <c r="I160" i="29"/>
  <c r="J160" i="29" s="1"/>
  <c r="I159" i="29"/>
  <c r="J159" i="29"/>
  <c r="I158" i="29"/>
  <c r="J158" i="29"/>
  <c r="I157" i="29"/>
  <c r="J157" i="29"/>
  <c r="I156" i="29"/>
  <c r="J156" i="29"/>
  <c r="I155" i="29"/>
  <c r="J155" i="29"/>
  <c r="I154" i="29"/>
  <c r="J154" i="29"/>
  <c r="I153" i="29"/>
  <c r="J153" i="29"/>
  <c r="I152" i="29"/>
  <c r="J152" i="29"/>
  <c r="I151" i="29"/>
  <c r="J151" i="29"/>
  <c r="I150" i="29"/>
  <c r="J150" i="29"/>
  <c r="I149" i="29"/>
  <c r="J149" i="29"/>
  <c r="I148" i="29"/>
  <c r="J148" i="29"/>
  <c r="I147" i="29"/>
  <c r="J147" i="29"/>
  <c r="I146" i="29"/>
  <c r="J146" i="29"/>
  <c r="I145" i="29"/>
  <c r="J145" i="29"/>
  <c r="I113" i="29"/>
  <c r="J113" i="29" s="1"/>
  <c r="G13" i="29"/>
  <c r="F13" i="29"/>
  <c r="I112" i="29"/>
  <c r="J112" i="29" s="1"/>
  <c r="I346" i="29"/>
  <c r="J346" i="29"/>
  <c r="I111" i="29"/>
  <c r="J111" i="29" s="1"/>
  <c r="I181" i="29"/>
  <c r="J181" i="29" s="1"/>
  <c r="H284" i="29"/>
  <c r="I284" i="29" s="1"/>
  <c r="J284" i="29" s="1"/>
  <c r="I218" i="29"/>
  <c r="J218" i="29" s="1"/>
  <c r="I180" i="29"/>
  <c r="J180" i="29" s="1"/>
  <c r="I86" i="29"/>
  <c r="J86" i="29" s="1"/>
  <c r="I110" i="29"/>
  <c r="J110" i="29" s="1"/>
  <c r="I109" i="29"/>
  <c r="J109" i="29" s="1"/>
  <c r="I108" i="29"/>
  <c r="J108" i="29" s="1"/>
  <c r="I107" i="29"/>
  <c r="J107" i="29" s="1"/>
  <c r="G85" i="29"/>
  <c r="F85" i="29"/>
  <c r="G84" i="29"/>
  <c r="I84" i="29" s="1"/>
  <c r="F84" i="29"/>
  <c r="I317" i="29"/>
  <c r="J317" i="29"/>
  <c r="I316" i="29"/>
  <c r="J316" i="29" s="1"/>
  <c r="I258" i="29"/>
  <c r="J258" i="29"/>
  <c r="I257" i="29"/>
  <c r="J257" i="29" s="1"/>
  <c r="G325" i="29"/>
  <c r="F325" i="29"/>
  <c r="G9" i="29"/>
  <c r="I9" i="29" s="1"/>
  <c r="F9" i="29"/>
  <c r="I324" i="29"/>
  <c r="J324" i="29" s="1"/>
  <c r="I19" i="29"/>
  <c r="J19" i="29" s="1"/>
  <c r="I217" i="29"/>
  <c r="J217" i="29" s="1"/>
  <c r="I18" i="29"/>
  <c r="J18" i="29" s="1"/>
  <c r="G83" i="29"/>
  <c r="F83" i="29"/>
  <c r="I8" i="29"/>
  <c r="J8" i="29"/>
  <c r="I7" i="29"/>
  <c r="J7" i="29" s="1"/>
  <c r="I6" i="29"/>
  <c r="J6" i="29" s="1"/>
  <c r="I17" i="29"/>
  <c r="J17" i="29" s="1"/>
  <c r="I323" i="29"/>
  <c r="J323" i="29" s="1"/>
  <c r="I106" i="29"/>
  <c r="J106" i="29" s="1"/>
  <c r="G354" i="29"/>
  <c r="F354" i="29"/>
  <c r="I82" i="29"/>
  <c r="J82" i="29" s="1"/>
  <c r="G105" i="29"/>
  <c r="I105" i="29"/>
  <c r="J105" i="29"/>
  <c r="F105" i="29"/>
  <c r="I104" i="29"/>
  <c r="J104" i="29"/>
  <c r="I62" i="29"/>
  <c r="J62" i="29" s="1"/>
  <c r="I2" i="29"/>
  <c r="J2" i="29" s="1"/>
  <c r="H353" i="29"/>
  <c r="I353" i="29" s="1"/>
  <c r="J353" i="29" s="1"/>
  <c r="F353" i="29"/>
  <c r="I144" i="29"/>
  <c r="J144" i="29" s="1"/>
  <c r="I143" i="29"/>
  <c r="J143" i="29"/>
  <c r="I142" i="29"/>
  <c r="J142" i="29" s="1"/>
  <c r="I103" i="29"/>
  <c r="J103" i="29" s="1"/>
  <c r="G81" i="29"/>
  <c r="I81" i="29" s="1"/>
  <c r="F81" i="29"/>
  <c r="I216" i="29"/>
  <c r="J216" i="29" s="1"/>
  <c r="I215" i="29"/>
  <c r="J215" i="29" s="1"/>
  <c r="I214" i="29"/>
  <c r="J214" i="29" s="1"/>
  <c r="I69" i="29"/>
  <c r="J69" i="29"/>
  <c r="G339" i="29"/>
  <c r="F339" i="29"/>
  <c r="G338" i="29"/>
  <c r="I338" i="29"/>
  <c r="F338" i="29"/>
  <c r="G16" i="29"/>
  <c r="F16" i="29"/>
  <c r="G80" i="29"/>
  <c r="F80" i="29"/>
  <c r="I102" i="29"/>
  <c r="J102" i="29" s="1"/>
  <c r="G179" i="29"/>
  <c r="J179" i="29" s="1"/>
  <c r="I179" i="29"/>
  <c r="F179" i="29"/>
  <c r="H178" i="29"/>
  <c r="I178" i="29"/>
  <c r="J178" i="29" s="1"/>
  <c r="I337" i="29"/>
  <c r="J337" i="29"/>
  <c r="G336" i="29"/>
  <c r="I336" i="29" s="1"/>
  <c r="F336" i="29"/>
  <c r="I5" i="29"/>
  <c r="J5" i="29"/>
  <c r="I345" i="29"/>
  <c r="J345" i="29" s="1"/>
  <c r="I256" i="29"/>
  <c r="J256" i="29" s="1"/>
  <c r="I255" i="29"/>
  <c r="J255" i="29"/>
  <c r="I254" i="29"/>
  <c r="J254" i="29"/>
  <c r="I253" i="29"/>
  <c r="J253" i="29"/>
  <c r="G65" i="29"/>
  <c r="I65" i="29"/>
  <c r="F65" i="29"/>
  <c r="G64" i="29"/>
  <c r="I64" i="29" s="1"/>
  <c r="F64" i="29"/>
  <c r="I68" i="29"/>
  <c r="J68" i="29"/>
  <c r="I315" i="29"/>
  <c r="J315" i="29"/>
  <c r="G15" i="29"/>
  <c r="I15" i="29"/>
  <c r="F15" i="29"/>
  <c r="I311" i="29"/>
  <c r="J311" i="29"/>
  <c r="I314" i="29"/>
  <c r="J314" i="29" s="1"/>
  <c r="H79" i="29"/>
  <c r="I79" i="29"/>
  <c r="J79" i="29" s="1"/>
  <c r="F79" i="29"/>
  <c r="H78" i="29"/>
  <c r="I78" i="29"/>
  <c r="J78" i="29" s="1"/>
  <c r="F78" i="29"/>
  <c r="H77" i="29"/>
  <c r="I77" i="29" s="1"/>
  <c r="J77" i="29" s="1"/>
  <c r="F77" i="29"/>
  <c r="H76" i="29"/>
  <c r="I76" i="29"/>
  <c r="J76" i="29" s="1"/>
  <c r="F76" i="29"/>
  <c r="I141" i="29"/>
  <c r="J141" i="29"/>
  <c r="G177" i="29"/>
  <c r="F177" i="29"/>
  <c r="G213" i="29"/>
  <c r="F213" i="29"/>
  <c r="I302" i="29"/>
  <c r="J302" i="29" s="1"/>
  <c r="I301" i="29"/>
  <c r="J301" i="29"/>
  <c r="G4" i="29"/>
  <c r="F4" i="29"/>
  <c r="G3" i="29"/>
  <c r="I3" i="29"/>
  <c r="F3" i="29"/>
  <c r="G63" i="29"/>
  <c r="F63" i="29"/>
  <c r="I51" i="29"/>
  <c r="J51" i="29" s="1"/>
  <c r="I67" i="29"/>
  <c r="J67" i="29" s="1"/>
  <c r="I14" i="29"/>
  <c r="J14" i="29" s="1"/>
  <c r="H322" i="29"/>
  <c r="I212" i="29"/>
  <c r="J212" i="29" s="1"/>
  <c r="I50" i="29"/>
  <c r="J50" i="29"/>
  <c r="I313" i="29"/>
  <c r="G313" i="29"/>
  <c r="J313" i="29" s="1"/>
  <c r="F313" i="29"/>
  <c r="G357" i="29"/>
  <c r="I357" i="29" s="1"/>
  <c r="F357" i="29"/>
  <c r="O252" i="29"/>
  <c r="O361" i="29"/>
  <c r="G252" i="29"/>
  <c r="I252" i="29"/>
  <c r="F252" i="29"/>
  <c r="F361" i="29"/>
  <c r="R361" i="21"/>
  <c r="I359" i="21"/>
  <c r="J359" i="21" s="1"/>
  <c r="G358" i="21"/>
  <c r="I358" i="21" s="1"/>
  <c r="J358" i="21" s="1"/>
  <c r="F358" i="21"/>
  <c r="I357" i="21"/>
  <c r="J357" i="21" s="1"/>
  <c r="G356" i="21"/>
  <c r="I356" i="21" s="1"/>
  <c r="F356" i="21"/>
  <c r="G355" i="21"/>
  <c r="I355" i="21" s="1"/>
  <c r="F355" i="21"/>
  <c r="G352" i="21"/>
  <c r="F352" i="21"/>
  <c r="G351" i="21"/>
  <c r="F351" i="21"/>
  <c r="G350" i="21"/>
  <c r="I350" i="21" s="1"/>
  <c r="F350" i="21"/>
  <c r="H304" i="21"/>
  <c r="F304" i="21"/>
  <c r="H349" i="21"/>
  <c r="I349" i="21" s="1"/>
  <c r="J349" i="21" s="1"/>
  <c r="G348" i="21"/>
  <c r="I348" i="21"/>
  <c r="J348" i="21"/>
  <c r="F348" i="21"/>
  <c r="I353" i="21"/>
  <c r="J353" i="21" s="1"/>
  <c r="I354" i="21"/>
  <c r="J354" i="21"/>
  <c r="G347" i="21"/>
  <c r="I347" i="21" s="1"/>
  <c r="F347" i="21"/>
  <c r="G343" i="21"/>
  <c r="I343" i="21"/>
  <c r="F343" i="21"/>
  <c r="I341" i="21"/>
  <c r="J341" i="21" s="1"/>
  <c r="I342" i="21"/>
  <c r="J342" i="21"/>
  <c r="I344" i="21"/>
  <c r="J344" i="21" s="1"/>
  <c r="I345" i="21"/>
  <c r="J345" i="21"/>
  <c r="I346" i="21"/>
  <c r="J346" i="21" s="1"/>
  <c r="G340" i="21"/>
  <c r="F340" i="21"/>
  <c r="I335" i="21"/>
  <c r="J335" i="21" s="1"/>
  <c r="I336" i="21"/>
  <c r="J336" i="21"/>
  <c r="I337" i="21"/>
  <c r="J337" i="21" s="1"/>
  <c r="I338" i="21"/>
  <c r="J338" i="21"/>
  <c r="I339" i="21"/>
  <c r="J339" i="21" s="1"/>
  <c r="I340" i="21"/>
  <c r="I334" i="21"/>
  <c r="J334" i="21" s="1"/>
  <c r="F329" i="21"/>
  <c r="G329" i="21"/>
  <c r="I329" i="21"/>
  <c r="I330" i="21"/>
  <c r="J330" i="21"/>
  <c r="I331" i="21"/>
  <c r="J331" i="21" s="1"/>
  <c r="I332" i="21"/>
  <c r="J332" i="21"/>
  <c r="I333" i="21"/>
  <c r="J333" i="21" s="1"/>
  <c r="H324" i="21"/>
  <c r="I324" i="21"/>
  <c r="J324" i="21"/>
  <c r="F324" i="21"/>
  <c r="I325" i="21"/>
  <c r="J325" i="21"/>
  <c r="I326" i="21"/>
  <c r="J326" i="21" s="1"/>
  <c r="I327" i="21"/>
  <c r="J327" i="21" s="1"/>
  <c r="I328" i="21"/>
  <c r="J328" i="21" s="1"/>
  <c r="I323" i="21"/>
  <c r="J323" i="21"/>
  <c r="I322" i="21"/>
  <c r="J322" i="21" s="1"/>
  <c r="I321" i="21"/>
  <c r="J321" i="21"/>
  <c r="I320" i="21"/>
  <c r="J320" i="21" s="1"/>
  <c r="I319" i="21"/>
  <c r="J319" i="21"/>
  <c r="G315" i="21"/>
  <c r="F315" i="21"/>
  <c r="I314" i="21"/>
  <c r="J314" i="21"/>
  <c r="I315" i="21"/>
  <c r="I316" i="21"/>
  <c r="J316" i="21" s="1"/>
  <c r="I317" i="21"/>
  <c r="J317" i="21"/>
  <c r="I318" i="21"/>
  <c r="J318" i="21" s="1"/>
  <c r="I313" i="21"/>
  <c r="J313" i="21"/>
  <c r="I312" i="21"/>
  <c r="J312" i="21" s="1"/>
  <c r="I307" i="21"/>
  <c r="J307" i="21"/>
  <c r="I308" i="21"/>
  <c r="J308" i="21" s="1"/>
  <c r="I309" i="21"/>
  <c r="J309" i="21"/>
  <c r="I310" i="21"/>
  <c r="J310" i="21" s="1"/>
  <c r="I311" i="21"/>
  <c r="J311" i="21"/>
  <c r="H306" i="21"/>
  <c r="I306" i="21" s="1"/>
  <c r="J306" i="21" s="1"/>
  <c r="F305" i="21"/>
  <c r="H305" i="21"/>
  <c r="I305" i="21"/>
  <c r="J305" i="21" s="1"/>
  <c r="G303" i="21"/>
  <c r="I303" i="21" s="1"/>
  <c r="F303" i="21"/>
  <c r="G302" i="21"/>
  <c r="I302" i="21" s="1"/>
  <c r="F302" i="21"/>
  <c r="G301" i="21"/>
  <c r="I301" i="21" s="1"/>
  <c r="F301" i="21"/>
  <c r="I299" i="21"/>
  <c r="J299" i="21" s="1"/>
  <c r="I300" i="21"/>
  <c r="J300" i="21"/>
  <c r="I304" i="21"/>
  <c r="J304" i="21"/>
  <c r="G298" i="21"/>
  <c r="I298" i="21"/>
  <c r="F298" i="21"/>
  <c r="H295" i="21"/>
  <c r="I295" i="21"/>
  <c r="J295" i="21" s="1"/>
  <c r="G293" i="21"/>
  <c r="F293" i="21"/>
  <c r="G292" i="21"/>
  <c r="I292" i="21" s="1"/>
  <c r="F292" i="21"/>
  <c r="G291" i="21"/>
  <c r="I291" i="21"/>
  <c r="F291" i="21"/>
  <c r="I294" i="21"/>
  <c r="J294" i="21"/>
  <c r="I296" i="21"/>
  <c r="J296" i="21"/>
  <c r="I297" i="21"/>
  <c r="J297" i="21"/>
  <c r="F290" i="21"/>
  <c r="H290" i="21"/>
  <c r="I290" i="21" s="1"/>
  <c r="J290" i="21" s="1"/>
  <c r="H288" i="21"/>
  <c r="I288" i="21"/>
  <c r="J288" i="21" s="1"/>
  <c r="I287" i="21"/>
  <c r="J287" i="21" s="1"/>
  <c r="I289" i="21"/>
  <c r="J289" i="21"/>
  <c r="H286" i="21"/>
  <c r="H285" i="21"/>
  <c r="I285" i="21"/>
  <c r="J285" i="21" s="1"/>
  <c r="H283" i="21"/>
  <c r="F283" i="21"/>
  <c r="I282" i="21"/>
  <c r="I281" i="21"/>
  <c r="J281" i="21" s="1"/>
  <c r="I283" i="21"/>
  <c r="J283" i="21"/>
  <c r="I284" i="21"/>
  <c r="J284" i="21" s="1"/>
  <c r="I286" i="21"/>
  <c r="J286" i="21"/>
  <c r="G280" i="21"/>
  <c r="F280" i="21"/>
  <c r="G279" i="21"/>
  <c r="F279" i="21"/>
  <c r="G278" i="21"/>
  <c r="I278" i="21" s="1"/>
  <c r="F278" i="21"/>
  <c r="G275" i="21"/>
  <c r="I275" i="21" s="1"/>
  <c r="F275" i="21"/>
  <c r="G274" i="21"/>
  <c r="I274" i="21"/>
  <c r="F274" i="21"/>
  <c r="G273" i="21"/>
  <c r="F273" i="21"/>
  <c r="G272" i="21"/>
  <c r="I272" i="21" s="1"/>
  <c r="F272" i="21"/>
  <c r="I271" i="21"/>
  <c r="J271" i="21"/>
  <c r="I276" i="21"/>
  <c r="J276" i="21"/>
  <c r="I277" i="21"/>
  <c r="J277" i="21"/>
  <c r="I270" i="21"/>
  <c r="J270" i="21"/>
  <c r="I269" i="21"/>
  <c r="J269" i="21"/>
  <c r="F268" i="21"/>
  <c r="G268" i="21"/>
  <c r="I268" i="21" s="1"/>
  <c r="J268" i="21" s="1"/>
  <c r="I264" i="21"/>
  <c r="J264" i="21"/>
  <c r="I265" i="21"/>
  <c r="J265" i="21" s="1"/>
  <c r="I266" i="21"/>
  <c r="J266" i="21"/>
  <c r="I267" i="21"/>
  <c r="J267" i="21" s="1"/>
  <c r="G263" i="21"/>
  <c r="F263" i="21"/>
  <c r="F262" i="21"/>
  <c r="G262" i="21"/>
  <c r="I262" i="21" s="1"/>
  <c r="F261" i="21"/>
  <c r="H261" i="21"/>
  <c r="I261" i="21" s="1"/>
  <c r="J261" i="21" s="1"/>
  <c r="I259" i="21"/>
  <c r="J259" i="21" s="1"/>
  <c r="H258" i="21"/>
  <c r="I258" i="21"/>
  <c r="J258" i="21"/>
  <c r="H257" i="21"/>
  <c r="I257" i="21" s="1"/>
  <c r="J257" i="21" s="1"/>
  <c r="F256" i="21"/>
  <c r="S361" i="21"/>
  <c r="G256" i="21"/>
  <c r="I256" i="21" s="1"/>
  <c r="H255" i="21"/>
  <c r="I255" i="21"/>
  <c r="J255" i="21" s="1"/>
  <c r="F255" i="21"/>
  <c r="G254" i="21"/>
  <c r="I254" i="21"/>
  <c r="F254" i="21"/>
  <c r="I249" i="21"/>
  <c r="J249" i="21" s="1"/>
  <c r="I250" i="21"/>
  <c r="J250" i="21"/>
  <c r="I251" i="21"/>
  <c r="J251" i="21" s="1"/>
  <c r="I252" i="21"/>
  <c r="J252" i="21"/>
  <c r="I253" i="21"/>
  <c r="J253" i="21" s="1"/>
  <c r="H248" i="21"/>
  <c r="I248" i="21"/>
  <c r="J248" i="21" s="1"/>
  <c r="G246" i="21"/>
  <c r="I246" i="21" s="1"/>
  <c r="J246" i="21" s="1"/>
  <c r="F246" i="21"/>
  <c r="I244" i="21"/>
  <c r="J244" i="21" s="1"/>
  <c r="I245" i="21"/>
  <c r="J245" i="21"/>
  <c r="I247" i="21"/>
  <c r="J247" i="21" s="1"/>
  <c r="H243" i="21"/>
  <c r="I243" i="21"/>
  <c r="J243" i="21"/>
  <c r="G242" i="21"/>
  <c r="I242" i="21" s="1"/>
  <c r="J242" i="21" s="1"/>
  <c r="F242" i="21"/>
  <c r="G241" i="21"/>
  <c r="I241" i="21"/>
  <c r="F241" i="21"/>
  <c r="H238" i="21"/>
  <c r="I238" i="21"/>
  <c r="J238" i="21"/>
  <c r="G230" i="21"/>
  <c r="I230" i="21" s="1"/>
  <c r="F230" i="21"/>
  <c r="G229" i="21"/>
  <c r="I229" i="21" s="1"/>
  <c r="F229" i="21"/>
  <c r="I231" i="21"/>
  <c r="J231" i="21"/>
  <c r="I232" i="21"/>
  <c r="J232" i="21"/>
  <c r="I233" i="21"/>
  <c r="J233" i="21"/>
  <c r="I234" i="21"/>
  <c r="J234" i="21"/>
  <c r="I235" i="21"/>
  <c r="J235" i="21"/>
  <c r="I236" i="21"/>
  <c r="J236" i="21"/>
  <c r="I237" i="21"/>
  <c r="J237" i="21"/>
  <c r="I239" i="21"/>
  <c r="J239" i="21"/>
  <c r="I240" i="21"/>
  <c r="J240" i="21"/>
  <c r="F220" i="21"/>
  <c r="G220" i="21"/>
  <c r="I220" i="21" s="1"/>
  <c r="I221" i="21"/>
  <c r="J221" i="21" s="1"/>
  <c r="I222" i="21"/>
  <c r="J222" i="21"/>
  <c r="I223" i="21"/>
  <c r="J223" i="21" s="1"/>
  <c r="I224" i="21"/>
  <c r="J224" i="21"/>
  <c r="I225" i="21"/>
  <c r="J225" i="21" s="1"/>
  <c r="I226" i="21"/>
  <c r="J226" i="21"/>
  <c r="I227" i="21"/>
  <c r="J227" i="21" s="1"/>
  <c r="I228" i="21"/>
  <c r="J228" i="21" s="1"/>
  <c r="H219" i="21"/>
  <c r="I219" i="21" s="1"/>
  <c r="J219" i="21" s="1"/>
  <c r="I218" i="21"/>
  <c r="J218" i="21"/>
  <c r="I217" i="21"/>
  <c r="J217" i="21"/>
  <c r="I216" i="21"/>
  <c r="J216" i="21"/>
  <c r="I215" i="21"/>
  <c r="J215" i="21"/>
  <c r="H193" i="21"/>
  <c r="I193" i="21"/>
  <c r="J193" i="21" s="1"/>
  <c r="I214" i="21"/>
  <c r="J214" i="21"/>
  <c r="F211" i="21"/>
  <c r="G211" i="21"/>
  <c r="F208" i="21"/>
  <c r="G208" i="21"/>
  <c r="I207" i="21"/>
  <c r="J207" i="21" s="1"/>
  <c r="I209" i="21"/>
  <c r="J209" i="21" s="1"/>
  <c r="I210" i="21"/>
  <c r="J210" i="21" s="1"/>
  <c r="I212" i="21"/>
  <c r="J212" i="21" s="1"/>
  <c r="I213" i="21"/>
  <c r="J213" i="21" s="1"/>
  <c r="H206" i="21"/>
  <c r="I206" i="21"/>
  <c r="J206" i="21" s="1"/>
  <c r="I205" i="21"/>
  <c r="J205" i="21"/>
  <c r="I204" i="21"/>
  <c r="J204" i="21" s="1"/>
  <c r="H169" i="21"/>
  <c r="I169" i="21"/>
  <c r="J169" i="21"/>
  <c r="H163" i="21"/>
  <c r="I163" i="21" s="1"/>
  <c r="J163" i="21" s="1"/>
  <c r="H197" i="21"/>
  <c r="I197" i="21"/>
  <c r="J197" i="21" s="1"/>
  <c r="I198" i="21"/>
  <c r="J198" i="21" s="1"/>
  <c r="I199" i="21"/>
  <c r="J199" i="21" s="1"/>
  <c r="I200" i="21"/>
  <c r="J200" i="21"/>
  <c r="I201" i="21"/>
  <c r="J201" i="21" s="1"/>
  <c r="I202" i="21"/>
  <c r="J202" i="21"/>
  <c r="I203" i="21"/>
  <c r="J203" i="21" s="1"/>
  <c r="H195" i="21"/>
  <c r="I195" i="21" s="1"/>
  <c r="J195" i="21"/>
  <c r="I194" i="21"/>
  <c r="J194" i="21"/>
  <c r="I196" i="21"/>
  <c r="J196" i="21"/>
  <c r="I188" i="21"/>
  <c r="J188" i="21"/>
  <c r="I189" i="21"/>
  <c r="J189" i="21"/>
  <c r="I190" i="21"/>
  <c r="J190" i="21"/>
  <c r="I191" i="21"/>
  <c r="J191" i="21"/>
  <c r="I192" i="21"/>
  <c r="J192" i="21"/>
  <c r="F187" i="21"/>
  <c r="G187" i="21"/>
  <c r="I187" i="21" s="1"/>
  <c r="J187" i="21" s="1"/>
  <c r="G186" i="21"/>
  <c r="I186" i="21"/>
  <c r="F186" i="21"/>
  <c r="I183" i="21"/>
  <c r="J183" i="21"/>
  <c r="I184" i="21"/>
  <c r="J184" i="21"/>
  <c r="I185" i="21"/>
  <c r="J185" i="21"/>
  <c r="G180" i="21"/>
  <c r="F180" i="21"/>
  <c r="G179" i="21"/>
  <c r="I179" i="21"/>
  <c r="F179" i="21"/>
  <c r="I171" i="21"/>
  <c r="J171" i="21"/>
  <c r="I172" i="21"/>
  <c r="J172" i="21"/>
  <c r="I173" i="21"/>
  <c r="J173" i="21"/>
  <c r="I174" i="21"/>
  <c r="J174" i="21"/>
  <c r="I175" i="21"/>
  <c r="J175" i="21"/>
  <c r="I176" i="21"/>
  <c r="J176" i="21"/>
  <c r="I177" i="21"/>
  <c r="J177" i="21"/>
  <c r="I178" i="21"/>
  <c r="J178" i="21"/>
  <c r="I181" i="21"/>
  <c r="J181" i="21"/>
  <c r="I182" i="21"/>
  <c r="J182" i="21"/>
  <c r="G170" i="21"/>
  <c r="I170" i="21"/>
  <c r="F170" i="21"/>
  <c r="F169" i="21"/>
  <c r="G167" i="21"/>
  <c r="I167" i="21"/>
  <c r="F167" i="21"/>
  <c r="I166" i="21"/>
  <c r="J166" i="21" s="1"/>
  <c r="I168" i="21"/>
  <c r="J168" i="21"/>
  <c r="H165" i="21"/>
  <c r="I165" i="21" s="1"/>
  <c r="J165" i="21" s="1"/>
  <c r="G164" i="21"/>
  <c r="F164" i="21"/>
  <c r="G162" i="21"/>
  <c r="F162" i="21"/>
  <c r="H161" i="21"/>
  <c r="I161" i="21"/>
  <c r="J161" i="21" s="1"/>
  <c r="F161" i="21"/>
  <c r="G156" i="21"/>
  <c r="I156" i="21" s="1"/>
  <c r="F156" i="21"/>
  <c r="I153" i="21"/>
  <c r="J153" i="21" s="1"/>
  <c r="I154" i="21"/>
  <c r="J154" i="21"/>
  <c r="I155" i="21"/>
  <c r="J155" i="21" s="1"/>
  <c r="I157" i="21"/>
  <c r="J157" i="21"/>
  <c r="I158" i="21"/>
  <c r="J158" i="21" s="1"/>
  <c r="I159" i="21"/>
  <c r="J159" i="21"/>
  <c r="I160" i="21"/>
  <c r="J160" i="21" s="1"/>
  <c r="I152" i="21"/>
  <c r="J152" i="21" s="1"/>
  <c r="I148" i="21"/>
  <c r="J148" i="21" s="1"/>
  <c r="I149" i="21"/>
  <c r="J149" i="21"/>
  <c r="I150" i="21"/>
  <c r="J150" i="21" s="1"/>
  <c r="I151" i="21"/>
  <c r="J151" i="21" s="1"/>
  <c r="F147" i="21"/>
  <c r="H147" i="21"/>
  <c r="I147" i="21" s="1"/>
  <c r="J147" i="21" s="1"/>
  <c r="H146" i="21"/>
  <c r="I146" i="21" s="1"/>
  <c r="J146" i="21" s="1"/>
  <c r="G145" i="21"/>
  <c r="F145" i="21"/>
  <c r="I144" i="21"/>
  <c r="J144" i="21"/>
  <c r="I143" i="21"/>
  <c r="J143" i="21"/>
  <c r="I142" i="21"/>
  <c r="J142" i="21"/>
  <c r="I141" i="21"/>
  <c r="J141" i="21"/>
  <c r="G140" i="21"/>
  <c r="I140" i="21"/>
  <c r="F140" i="21"/>
  <c r="H139" i="21"/>
  <c r="I139" i="21" s="1"/>
  <c r="J139" i="21" s="1"/>
  <c r="G135" i="21"/>
  <c r="I135" i="21"/>
  <c r="J135" i="21" s="1"/>
  <c r="F135" i="21"/>
  <c r="H133" i="21"/>
  <c r="I133" i="21" s="1"/>
  <c r="J133" i="21" s="1"/>
  <c r="F133" i="21"/>
  <c r="I134" i="21"/>
  <c r="J134" i="21" s="1"/>
  <c r="I136" i="21"/>
  <c r="J136" i="21" s="1"/>
  <c r="I137" i="21"/>
  <c r="J137" i="21"/>
  <c r="I138" i="21"/>
  <c r="J138" i="21" s="1"/>
  <c r="G132" i="21"/>
  <c r="I132" i="21" s="1"/>
  <c r="J132" i="21" s="1"/>
  <c r="F132" i="21"/>
  <c r="I129" i="21"/>
  <c r="J129" i="21" s="1"/>
  <c r="I130" i="21"/>
  <c r="J130" i="21"/>
  <c r="I131" i="21"/>
  <c r="J131" i="21" s="1"/>
  <c r="F128" i="21"/>
  <c r="G128" i="21"/>
  <c r="I128" i="21"/>
  <c r="J128" i="21" s="1"/>
  <c r="F127" i="21"/>
  <c r="G127" i="21"/>
  <c r="H38" i="21"/>
  <c r="I38" i="21"/>
  <c r="J38" i="21" s="1"/>
  <c r="H126" i="21"/>
  <c r="I126" i="21"/>
  <c r="J126" i="21" s="1"/>
  <c r="I122" i="21"/>
  <c r="J122" i="21"/>
  <c r="I123" i="21"/>
  <c r="J123" i="21" s="1"/>
  <c r="I124" i="21"/>
  <c r="J124" i="21"/>
  <c r="I125" i="21"/>
  <c r="J125" i="21" s="1"/>
  <c r="I99" i="21"/>
  <c r="J99" i="21"/>
  <c r="I100" i="21"/>
  <c r="J100" i="21" s="1"/>
  <c r="I101" i="21"/>
  <c r="J101" i="21" s="1"/>
  <c r="I102" i="21"/>
  <c r="J102" i="21" s="1"/>
  <c r="I103" i="21"/>
  <c r="J103" i="21"/>
  <c r="I104" i="21"/>
  <c r="J104" i="21" s="1"/>
  <c r="I105" i="21"/>
  <c r="J105" i="21"/>
  <c r="I106" i="21"/>
  <c r="J106" i="21" s="1"/>
  <c r="I107" i="21"/>
  <c r="J107" i="21"/>
  <c r="I108" i="21"/>
  <c r="J108" i="21" s="1"/>
  <c r="I109" i="21"/>
  <c r="J109" i="21" s="1"/>
  <c r="I110" i="21"/>
  <c r="J110" i="21" s="1"/>
  <c r="I111" i="21"/>
  <c r="J111" i="21"/>
  <c r="I112" i="21"/>
  <c r="J112" i="21" s="1"/>
  <c r="I113" i="21"/>
  <c r="J113" i="21"/>
  <c r="I114" i="21"/>
  <c r="J114" i="21" s="1"/>
  <c r="I115" i="21"/>
  <c r="J115" i="21"/>
  <c r="I116" i="21"/>
  <c r="J116" i="21" s="1"/>
  <c r="I117" i="21"/>
  <c r="J117" i="21" s="1"/>
  <c r="I119" i="21"/>
  <c r="J119" i="21"/>
  <c r="I120" i="21"/>
  <c r="J120" i="21" s="1"/>
  <c r="I121" i="21"/>
  <c r="J121" i="21"/>
  <c r="I98" i="21"/>
  <c r="J98" i="21" s="1"/>
  <c r="I97" i="21"/>
  <c r="J97" i="21"/>
  <c r="I96" i="21"/>
  <c r="J96" i="21" s="1"/>
  <c r="I95" i="21"/>
  <c r="J95" i="21"/>
  <c r="I94" i="21"/>
  <c r="J94" i="21" s="1"/>
  <c r="G92" i="21"/>
  <c r="I92" i="21"/>
  <c r="F92" i="21"/>
  <c r="I88" i="21"/>
  <c r="J88" i="21"/>
  <c r="I89" i="21"/>
  <c r="J89" i="21"/>
  <c r="I90" i="21"/>
  <c r="J90" i="21"/>
  <c r="I91" i="21"/>
  <c r="J91" i="21"/>
  <c r="I93" i="21"/>
  <c r="J93" i="21"/>
  <c r="H87" i="21"/>
  <c r="I87" i="21"/>
  <c r="J87" i="21" s="1"/>
  <c r="G79" i="21"/>
  <c r="I79" i="21" s="1"/>
  <c r="J79" i="21" s="1"/>
  <c r="F79" i="21"/>
  <c r="G78" i="21"/>
  <c r="I78" i="21" s="1"/>
  <c r="F78" i="21"/>
  <c r="I74" i="21"/>
  <c r="J74" i="21"/>
  <c r="I75" i="21"/>
  <c r="J75" i="21"/>
  <c r="I76" i="21"/>
  <c r="J76" i="21"/>
  <c r="I77" i="21"/>
  <c r="J77" i="21"/>
  <c r="I80" i="21"/>
  <c r="J80" i="21"/>
  <c r="I81" i="21"/>
  <c r="J81" i="21"/>
  <c r="I82" i="21"/>
  <c r="J82" i="21"/>
  <c r="I83" i="21"/>
  <c r="J83" i="21"/>
  <c r="I84" i="21"/>
  <c r="J84" i="21"/>
  <c r="I85" i="21"/>
  <c r="J85" i="21"/>
  <c r="I86" i="21"/>
  <c r="J86" i="21"/>
  <c r="F73" i="21"/>
  <c r="G73" i="21"/>
  <c r="I73" i="21" s="1"/>
  <c r="G72" i="21"/>
  <c r="I72" i="21"/>
  <c r="F72" i="21"/>
  <c r="G67" i="21"/>
  <c r="I67" i="21"/>
  <c r="F67" i="21"/>
  <c r="I65" i="21"/>
  <c r="J65" i="21" s="1"/>
  <c r="I66" i="21"/>
  <c r="J66" i="21"/>
  <c r="I68" i="21"/>
  <c r="J68" i="21" s="1"/>
  <c r="I69" i="21"/>
  <c r="J69" i="21"/>
  <c r="I70" i="21"/>
  <c r="J70" i="21" s="1"/>
  <c r="I71" i="21"/>
  <c r="J71" i="21" s="1"/>
  <c r="F60" i="21"/>
  <c r="G60" i="21"/>
  <c r="I61" i="21"/>
  <c r="J61" i="21" s="1"/>
  <c r="I62" i="21"/>
  <c r="J62" i="21" s="1"/>
  <c r="I63" i="21"/>
  <c r="J63" i="21"/>
  <c r="I64" i="21"/>
  <c r="J64" i="21" s="1"/>
  <c r="G58" i="21"/>
  <c r="I58" i="21"/>
  <c r="F58" i="21"/>
  <c r="H54" i="21"/>
  <c r="I54" i="21"/>
  <c r="J54" i="21"/>
  <c r="F54" i="21"/>
  <c r="I59" i="21"/>
  <c r="J59" i="21"/>
  <c r="I50" i="21"/>
  <c r="J50" i="21"/>
  <c r="I51" i="21"/>
  <c r="J51" i="21"/>
  <c r="I52" i="21"/>
  <c r="J52" i="21"/>
  <c r="I53" i="21"/>
  <c r="J53" i="21"/>
  <c r="I55" i="21"/>
  <c r="J55" i="21"/>
  <c r="I56" i="21"/>
  <c r="J56" i="21"/>
  <c r="I57" i="21"/>
  <c r="J57" i="21"/>
  <c r="F49" i="21"/>
  <c r="G49" i="21"/>
  <c r="I49" i="21"/>
  <c r="G43" i="21"/>
  <c r="I43" i="21" s="1"/>
  <c r="F43" i="21"/>
  <c r="G44" i="21"/>
  <c r="I44" i="21"/>
  <c r="F44" i="21"/>
  <c r="I45" i="21"/>
  <c r="J45" i="21"/>
  <c r="I46" i="21"/>
  <c r="J46" i="21"/>
  <c r="I47" i="21"/>
  <c r="J47" i="21"/>
  <c r="I48" i="21"/>
  <c r="J48" i="21"/>
  <c r="F42" i="21"/>
  <c r="G42" i="21"/>
  <c r="I42" i="21" s="1"/>
  <c r="G41" i="21"/>
  <c r="F41" i="21"/>
  <c r="I40" i="21"/>
  <c r="J40" i="21"/>
  <c r="I41" i="21"/>
  <c r="J41" i="21" s="1"/>
  <c r="G39" i="21"/>
  <c r="I39" i="21" s="1"/>
  <c r="F39" i="21"/>
  <c r="H7" i="21"/>
  <c r="I7" i="21"/>
  <c r="J7" i="21" s="1"/>
  <c r="I37" i="21"/>
  <c r="J37" i="21" s="1"/>
  <c r="G36" i="21"/>
  <c r="F36" i="21"/>
  <c r="I35" i="21"/>
  <c r="J35" i="21" s="1"/>
  <c r="G29" i="21"/>
  <c r="I29" i="21"/>
  <c r="J29" i="21"/>
  <c r="F29" i="21"/>
  <c r="F28" i="21"/>
  <c r="G28" i="21"/>
  <c r="J28" i="21" s="1"/>
  <c r="I28" i="21"/>
  <c r="I26" i="21"/>
  <c r="J26" i="21"/>
  <c r="I27" i="21"/>
  <c r="J27" i="21" s="1"/>
  <c r="I30" i="21"/>
  <c r="J30" i="21"/>
  <c r="I31" i="21"/>
  <c r="J31" i="21" s="1"/>
  <c r="I32" i="21"/>
  <c r="J32" i="21"/>
  <c r="I33" i="21"/>
  <c r="J33" i="21" s="1"/>
  <c r="I34" i="21"/>
  <c r="J34" i="21"/>
  <c r="G25" i="21"/>
  <c r="I25" i="21" s="1"/>
  <c r="F25" i="21"/>
  <c r="H22" i="21"/>
  <c r="I22" i="21"/>
  <c r="J22" i="21" s="1"/>
  <c r="F22" i="21"/>
  <c r="H21" i="21"/>
  <c r="I21" i="21" s="1"/>
  <c r="J21" i="21" s="1"/>
  <c r="F21" i="21"/>
  <c r="H20" i="21"/>
  <c r="I20" i="21"/>
  <c r="J20" i="21" s="1"/>
  <c r="F20" i="21"/>
  <c r="I23" i="21"/>
  <c r="J23" i="21"/>
  <c r="I24" i="21"/>
  <c r="J24" i="21" s="1"/>
  <c r="H19" i="21"/>
  <c r="I19" i="21"/>
  <c r="J19" i="21"/>
  <c r="F19" i="21"/>
  <c r="G17" i="21"/>
  <c r="I17" i="21"/>
  <c r="J17" i="21"/>
  <c r="F17" i="21"/>
  <c r="F16" i="21"/>
  <c r="G16" i="21"/>
  <c r="I16" i="21"/>
  <c r="G13" i="21"/>
  <c r="I13" i="21" s="1"/>
  <c r="J13" i="21" s="1"/>
  <c r="F13" i="21"/>
  <c r="G12" i="21"/>
  <c r="I12" i="21"/>
  <c r="J12" i="21" s="1"/>
  <c r="F12" i="21"/>
  <c r="G11" i="21"/>
  <c r="F11" i="21"/>
  <c r="F4" i="21"/>
  <c r="G4" i="21"/>
  <c r="I4" i="21"/>
  <c r="J4" i="21"/>
  <c r="I5" i="21"/>
  <c r="J5" i="21" s="1"/>
  <c r="I6" i="21"/>
  <c r="J6" i="21"/>
  <c r="I8" i="21"/>
  <c r="J8" i="21" s="1"/>
  <c r="I9" i="21"/>
  <c r="J9" i="21" s="1"/>
  <c r="I10" i="21"/>
  <c r="J10" i="21" s="1"/>
  <c r="I14" i="21"/>
  <c r="J14" i="21"/>
  <c r="I15" i="21"/>
  <c r="J15" i="21" s="1"/>
  <c r="I18" i="21"/>
  <c r="J18" i="21"/>
  <c r="G3" i="21"/>
  <c r="F3" i="21"/>
  <c r="O2" i="21"/>
  <c r="O361" i="21"/>
  <c r="G2" i="21"/>
  <c r="I2" i="21" s="1"/>
  <c r="F2" i="21"/>
  <c r="Q361" i="21"/>
  <c r="P361" i="21"/>
  <c r="J49" i="21"/>
  <c r="J274" i="21"/>
  <c r="J170" i="21"/>
  <c r="J262" i="21"/>
  <c r="I60" i="21"/>
  <c r="J60" i="21"/>
  <c r="J302" i="21"/>
  <c r="J275" i="21"/>
  <c r="J230" i="21"/>
  <c r="J278" i="21"/>
  <c r="J301" i="21"/>
  <c r="J303" i="21"/>
  <c r="I162" i="21"/>
  <c r="J162" i="21" s="1"/>
  <c r="I263" i="21"/>
  <c r="J263" i="21"/>
  <c r="I127" i="21"/>
  <c r="J127" i="21" s="1"/>
  <c r="I145" i="21"/>
  <c r="J145" i="21"/>
  <c r="J241" i="21"/>
  <c r="J292" i="21"/>
  <c r="J282" i="21"/>
  <c r="J340" i="21"/>
  <c r="J315" i="21"/>
  <c r="J67" i="21"/>
  <c r="J73" i="21"/>
  <c r="J72" i="21"/>
  <c r="J229" i="21"/>
  <c r="J256" i="21"/>
  <c r="I11" i="21"/>
  <c r="J11" i="21"/>
  <c r="J42" i="21"/>
  <c r="J43" i="21"/>
  <c r="J140" i="21"/>
  <c r="J58" i="21"/>
  <c r="J167" i="21"/>
  <c r="I180" i="21"/>
  <c r="J180" i="21" s="1"/>
  <c r="J350" i="21"/>
  <c r="J343" i="21"/>
  <c r="J285" i="30"/>
  <c r="J290" i="30"/>
  <c r="J182" i="30"/>
  <c r="J278" i="30"/>
  <c r="J29" i="30"/>
  <c r="J41" i="30"/>
  <c r="F361" i="30"/>
  <c r="J337" i="30"/>
  <c r="J186" i="30"/>
  <c r="J239" i="30"/>
  <c r="J235" i="30"/>
  <c r="G361" i="30"/>
  <c r="H361" i="30"/>
  <c r="J167" i="30"/>
  <c r="J238" i="30"/>
  <c r="I206" i="30"/>
  <c r="J206" i="30" s="1"/>
  <c r="J118" i="30"/>
  <c r="I192" i="30"/>
  <c r="J192" i="30" s="1"/>
  <c r="I76" i="30"/>
  <c r="J76" i="30" s="1"/>
  <c r="J104" i="30"/>
  <c r="J112" i="30"/>
  <c r="I306" i="30"/>
  <c r="J306" i="30" s="1"/>
  <c r="I336" i="30"/>
  <c r="J336" i="30" s="1"/>
  <c r="I136" i="30"/>
  <c r="J136" i="30" s="1"/>
  <c r="J6" i="30"/>
  <c r="J71" i="30"/>
  <c r="J302" i="30"/>
  <c r="I320" i="30"/>
  <c r="J320" i="30" s="1"/>
  <c r="I226" i="30"/>
  <c r="J226" i="30" s="1"/>
  <c r="J111" i="30"/>
  <c r="I128" i="30"/>
  <c r="J128" i="30"/>
  <c r="I125" i="30"/>
  <c r="J125" i="30"/>
  <c r="I228" i="30"/>
  <c r="J228" i="30"/>
  <c r="I129" i="30"/>
  <c r="J129" i="30" s="1"/>
  <c r="I205" i="30"/>
  <c r="J205" i="30" s="1"/>
  <c r="I193" i="30"/>
  <c r="J193" i="30" s="1"/>
  <c r="I198" i="30"/>
  <c r="J198" i="30" s="1"/>
  <c r="I335" i="30"/>
  <c r="J335" i="30" s="1"/>
  <c r="I106" i="30"/>
  <c r="J106" i="30" s="1"/>
  <c r="I250" i="30"/>
  <c r="J250" i="30"/>
  <c r="I55" i="30"/>
  <c r="J55" i="30"/>
  <c r="I66" i="30"/>
  <c r="J66" i="30"/>
  <c r="I233" i="30"/>
  <c r="J233" i="30"/>
  <c r="I353" i="30"/>
  <c r="J353" i="30"/>
  <c r="J261" i="29"/>
  <c r="J262" i="29"/>
  <c r="I347" i="29"/>
  <c r="J347" i="29"/>
  <c r="I260" i="29"/>
  <c r="J260" i="29"/>
  <c r="I261" i="29"/>
  <c r="I262" i="29"/>
  <c r="I282" i="29"/>
  <c r="J282" i="29"/>
  <c r="J127" i="29"/>
  <c r="J306" i="29"/>
  <c r="J83" i="29"/>
  <c r="J252" i="29"/>
  <c r="H361" i="29"/>
  <c r="J3" i="29"/>
  <c r="I80" i="29"/>
  <c r="J80" i="29"/>
  <c r="I16" i="29"/>
  <c r="J16" i="29"/>
  <c r="I339" i="29"/>
  <c r="J339" i="29"/>
  <c r="J9" i="29"/>
  <c r="J84" i="29"/>
  <c r="I322" i="29"/>
  <c r="J322" i="29"/>
  <c r="J338" i="29"/>
  <c r="J81" i="29"/>
  <c r="I13" i="29"/>
  <c r="J13" i="29"/>
  <c r="J326" i="29"/>
  <c r="I63" i="29"/>
  <c r="J63" i="29"/>
  <c r="I4" i="29"/>
  <c r="J4" i="29"/>
  <c r="I213" i="29"/>
  <c r="J213" i="29"/>
  <c r="I177" i="29"/>
  <c r="J177" i="29"/>
  <c r="I354" i="29"/>
  <c r="J354" i="29"/>
  <c r="I83" i="29"/>
  <c r="I325" i="29"/>
  <c r="J325" i="29" s="1"/>
  <c r="I85" i="29"/>
  <c r="J85" i="29" s="1"/>
  <c r="I327" i="29"/>
  <c r="J327" i="29" s="1"/>
  <c r="G361" i="29"/>
  <c r="J116" i="29"/>
  <c r="J221" i="29"/>
  <c r="J88" i="29"/>
  <c r="J350" i="29"/>
  <c r="J186" i="29"/>
  <c r="J187" i="29"/>
  <c r="I329" i="29"/>
  <c r="J329" i="29" s="1"/>
  <c r="I330" i="29"/>
  <c r="J330" i="29"/>
  <c r="I240" i="29"/>
  <c r="J240" i="29" s="1"/>
  <c r="I241" i="29"/>
  <c r="J241" i="29"/>
  <c r="I307" i="29"/>
  <c r="J307" i="29" s="1"/>
  <c r="I94" i="29"/>
  <c r="J94" i="29"/>
  <c r="I95" i="29"/>
  <c r="J95" i="29" s="1"/>
  <c r="I266" i="29"/>
  <c r="J266" i="29"/>
  <c r="I267" i="29"/>
  <c r="J267" i="29" s="1"/>
  <c r="I197" i="29"/>
  <c r="J197" i="29"/>
  <c r="I198" i="29"/>
  <c r="J198" i="29" s="1"/>
  <c r="I199" i="29"/>
  <c r="J199" i="29"/>
  <c r="I270" i="29"/>
  <c r="J270" i="29" s="1"/>
  <c r="I265" i="29"/>
  <c r="J265" i="29" s="1"/>
  <c r="I208" i="29"/>
  <c r="J208" i="29" s="1"/>
  <c r="I97" i="29"/>
  <c r="J97" i="29" s="1"/>
  <c r="I176" i="29"/>
  <c r="J176" i="29" s="1"/>
  <c r="I120" i="29"/>
  <c r="J120" i="29" s="1"/>
  <c r="I60" i="29"/>
  <c r="J60" i="29" s="1"/>
  <c r="H370" i="31" l="1"/>
  <c r="J186" i="21"/>
  <c r="I280" i="21"/>
  <c r="J280" i="21" s="1"/>
  <c r="J291" i="21"/>
  <c r="I293" i="21"/>
  <c r="J293" i="21" s="1"/>
  <c r="J2" i="21"/>
  <c r="I3" i="21"/>
  <c r="J3" i="21" s="1"/>
  <c r="J272" i="21"/>
  <c r="J156" i="21"/>
  <c r="H361" i="21"/>
  <c r="J179" i="21"/>
  <c r="I211" i="21"/>
  <c r="J211" i="21" s="1"/>
  <c r="I273" i="21"/>
  <c r="J273" i="21"/>
  <c r="J352" i="21"/>
  <c r="I208" i="21"/>
  <c r="J208" i="21"/>
  <c r="J39" i="21"/>
  <c r="J78" i="21"/>
  <c r="J220" i="21"/>
  <c r="I164" i="21"/>
  <c r="J164" i="21" s="1"/>
  <c r="I279" i="21"/>
  <c r="J279" i="21" s="1"/>
  <c r="I352" i="21"/>
  <c r="J355" i="21"/>
  <c r="I99" i="29"/>
  <c r="J99" i="29" s="1"/>
  <c r="I263" i="29"/>
  <c r="J263" i="29"/>
  <c r="J85" i="30"/>
  <c r="I85" i="30"/>
  <c r="J254" i="21"/>
  <c r="J329" i="21"/>
  <c r="J65" i="29"/>
  <c r="J213" i="30"/>
  <c r="I213" i="30"/>
  <c r="J357" i="29"/>
  <c r="J64" i="29"/>
  <c r="J336" i="29"/>
  <c r="I184" i="29"/>
  <c r="J184" i="29"/>
  <c r="I92" i="29"/>
  <c r="J92" i="29" s="1"/>
  <c r="I100" i="29"/>
  <c r="J100" i="29"/>
  <c r="I304" i="30"/>
  <c r="J304" i="30" s="1"/>
  <c r="J298" i="21"/>
  <c r="J15" i="29"/>
  <c r="J121" i="29"/>
  <c r="I121" i="29"/>
  <c r="I317" i="30"/>
  <c r="J317" i="30" s="1"/>
  <c r="J299" i="30"/>
  <c r="I36" i="21"/>
  <c r="J36" i="21" s="1"/>
  <c r="G361" i="21"/>
  <c r="J25" i="21"/>
  <c r="F361" i="21"/>
  <c r="J16" i="21"/>
  <c r="J44" i="21"/>
  <c r="J92" i="21"/>
  <c r="I351" i="21"/>
  <c r="J351" i="21" s="1"/>
  <c r="I59" i="29"/>
  <c r="I361" i="29" s="1"/>
  <c r="J89" i="29"/>
  <c r="J193" i="29"/>
  <c r="J93" i="29"/>
  <c r="J200" i="29"/>
  <c r="J57" i="29"/>
  <c r="J347" i="21"/>
  <c r="J356" i="21"/>
  <c r="J305" i="29"/>
  <c r="J90" i="29"/>
  <c r="J335" i="29"/>
  <c r="J98" i="29"/>
  <c r="I72" i="30"/>
  <c r="I83" i="30"/>
  <c r="J83" i="30" s="1"/>
  <c r="I224" i="30"/>
  <c r="J224" i="30" s="1"/>
  <c r="I220" i="30"/>
  <c r="J220" i="30" s="1"/>
  <c r="I102" i="30"/>
  <c r="J102" i="30" s="1"/>
  <c r="I342" i="30"/>
  <c r="J342" i="30" s="1"/>
  <c r="J236" i="30"/>
  <c r="J88" i="30"/>
  <c r="J166" i="30"/>
  <c r="I160" i="30"/>
  <c r="J160" i="30" s="1"/>
  <c r="J95" i="30"/>
  <c r="J202" i="30"/>
  <c r="J316" i="30"/>
  <c r="I361" i="21" l="1"/>
  <c r="I361" i="30"/>
  <c r="J72" i="30"/>
  <c r="J59" i="29"/>
</calcChain>
</file>

<file path=xl/sharedStrings.xml><?xml version="1.0" encoding="utf-8"?>
<sst xmlns="http://schemas.openxmlformats.org/spreadsheetml/2006/main" count="9043" uniqueCount="1099">
  <si>
    <t>REPORT NO.</t>
  </si>
  <si>
    <t>CHANGE      $</t>
  </si>
  <si>
    <t>CHANGE      %</t>
  </si>
  <si>
    <t>Thru FY</t>
  </si>
  <si>
    <t>TOTALS</t>
  </si>
  <si>
    <t>TYPE</t>
  </si>
  <si>
    <t>DEPT.</t>
  </si>
  <si>
    <t>VENDOR</t>
  </si>
  <si>
    <t>SCOPE</t>
  </si>
  <si>
    <t>1153 $</t>
  </si>
  <si>
    <t>ORIG $</t>
  </si>
  <si>
    <t>TOTAL $</t>
  </si>
  <si>
    <t>COMP Y/N</t>
  </si>
  <si>
    <t>AGREEMENT/     PR   NO.</t>
  </si>
  <si>
    <t>FY14</t>
  </si>
  <si>
    <t>Fed. Funds</t>
  </si>
  <si>
    <t>FY15</t>
  </si>
  <si>
    <t>14-01-01</t>
  </si>
  <si>
    <t>14-01-02</t>
  </si>
  <si>
    <t>14-01-03</t>
  </si>
  <si>
    <t>14-01-04</t>
  </si>
  <si>
    <t>14-01-05</t>
  </si>
  <si>
    <t>14-01-06</t>
  </si>
  <si>
    <t>14-01-07</t>
  </si>
  <si>
    <t>14-01-08</t>
  </si>
  <si>
    <t>14-01-09</t>
  </si>
  <si>
    <t>14-01-10</t>
  </si>
  <si>
    <t>14-01-11</t>
  </si>
  <si>
    <t>FY16</t>
  </si>
  <si>
    <t>14-01-12</t>
  </si>
  <si>
    <t>14-01-13</t>
  </si>
  <si>
    <t>14-01-14</t>
  </si>
  <si>
    <t>14-01-15</t>
  </si>
  <si>
    <t>14-01-16</t>
  </si>
  <si>
    <t>14-01-17</t>
  </si>
  <si>
    <t>Oakland Airport Connector</t>
  </si>
  <si>
    <t>Treasury</t>
  </si>
  <si>
    <t>Real Estate</t>
  </si>
  <si>
    <t>Customer Access</t>
  </si>
  <si>
    <t>Marketing &amp; Research</t>
  </si>
  <si>
    <t>Rolling Stock &amp; Shops</t>
  </si>
  <si>
    <t>Communications</t>
  </si>
  <si>
    <t>Government &amp; Community Relations</t>
  </si>
  <si>
    <t>Energy</t>
  </si>
  <si>
    <t>BART Police</t>
  </si>
  <si>
    <t>Operating Budgets</t>
  </si>
  <si>
    <t>Maintenance &amp; Engineering</t>
  </si>
  <si>
    <t>Labor Relations</t>
  </si>
  <si>
    <t>Elation Systems</t>
  </si>
  <si>
    <t>Universal Tracking Solutions</t>
  </si>
  <si>
    <t>Keyers Marston Associates</t>
  </si>
  <si>
    <t>Alameda Bike</t>
  </si>
  <si>
    <t>Ouantum Market Research</t>
  </si>
  <si>
    <t>Always Under Pressure</t>
  </si>
  <si>
    <t>Printeam</t>
  </si>
  <si>
    <t>Denisse Gonzalez</t>
  </si>
  <si>
    <t>Ruth Miller</t>
  </si>
  <si>
    <t>Cohen Energy Ventures dba Energy Solutions</t>
  </si>
  <si>
    <t>Contra Costa County Auditor Controller</t>
  </si>
  <si>
    <t>Muller Veterinary Hospital</t>
  </si>
  <si>
    <t>Scott D. Miller</t>
  </si>
  <si>
    <t>Roberta Fogerty</t>
  </si>
  <si>
    <t>Modern Express Courier</t>
  </si>
  <si>
    <t>David A. Weinberg</t>
  </si>
  <si>
    <t>6304/         PO# 6725</t>
  </si>
  <si>
    <t>TBD</t>
  </si>
  <si>
    <t xml:space="preserve">Provide proprietary software to implement a web-based contract compliance management system for various BART projects.  </t>
  </si>
  <si>
    <t xml:space="preserve">Provide GPS tracking for fourteen (14) revenue vehicles to track their location during the time of collections.  </t>
  </si>
  <si>
    <t xml:space="preserve">Provide consulting services to assist the District in analyzing the financial viability of developing the Walnut Creek Station with BRE Properties.  </t>
  </si>
  <si>
    <t xml:space="preserve">Provide management services to operate BART’s Bike Parking Facilities Program at Embarcadero, Fruitvale and Berkeley Stations. </t>
  </si>
  <si>
    <t xml:space="preserve">Provide research services to conduct an on-board survey and obtain customer reaction to the planned interior design/layout for BART’s new train cars.  </t>
  </si>
  <si>
    <t xml:space="preserve">Provide on-call maintenance and repair services for two waste water treatment facilities located in the Concord and the Richmond Yards. </t>
  </si>
  <si>
    <t xml:space="preserve">Provide services to print 150,000 BART Fares and Schedules brochures to replenish the supply available for distribution to stations.  </t>
  </si>
  <si>
    <t xml:space="preserve">Provide bilingual consulting services to address Title VI and New Rail car issues during community outreach activities throughout the District.  </t>
  </si>
  <si>
    <t xml:space="preserve">Provide consulting services to support the installation of photovoltaic equipment energy efficiency facilities on District property.  </t>
  </si>
  <si>
    <t xml:space="preserve">Provide booking and processing services for arrest of suspects believed to have committed crimes. </t>
  </si>
  <si>
    <t>Provide consulting services to implement new parking policies at District parking facilities and intermodal areas.</t>
  </si>
  <si>
    <t xml:space="preserve">Provide veterinary services for regular checkups for police canines.  </t>
  </si>
  <si>
    <t xml:space="preserve">Provide specialized transit industry labor negotiations costing training and support for BART staff in preparation for labor negotiations.  </t>
  </si>
  <si>
    <t xml:space="preserve">Provide analytical support services for operating budget activities including current operations and future labor negotiations.  </t>
  </si>
  <si>
    <t xml:space="preserve">Provide monthly delivery of the BART Times Newsletter to all BART Stations and other locations. </t>
  </si>
  <si>
    <t>Provide services required in connection with training for preventive maintenance and repair of rail maintenance vehicles and equipment.</t>
  </si>
  <si>
    <t>Provide services for the 2013 ASFCME labor negotiations by a Consultant chosen pursuant to the District’s collective bargaining agreement requirements.</t>
  </si>
  <si>
    <t>N</t>
  </si>
  <si>
    <t>M</t>
  </si>
  <si>
    <t>Y</t>
  </si>
  <si>
    <t>C</t>
  </si>
  <si>
    <t>14-02-01</t>
  </si>
  <si>
    <t>14-02-02</t>
  </si>
  <si>
    <t>14-02-03</t>
  </si>
  <si>
    <t>14-02-04</t>
  </si>
  <si>
    <t>14-02-05</t>
  </si>
  <si>
    <t>14-02-06</t>
  </si>
  <si>
    <t>14-02-07</t>
  </si>
  <si>
    <t>Human Resources</t>
  </si>
  <si>
    <t>Procurement</t>
  </si>
  <si>
    <t>Backgrounds Online</t>
  </si>
  <si>
    <t>Donnoe &amp; Associates, Inc.</t>
  </si>
  <si>
    <t>Paul S.D. Berg, Ph.D. &amp; Associates</t>
  </si>
  <si>
    <t>Kirby Polygraph and Investigative</t>
  </si>
  <si>
    <t>Crown Lift Trucks</t>
  </si>
  <si>
    <t>Melwater News US, Inc.</t>
  </si>
  <si>
    <t>6491/         PO# 8570</t>
  </si>
  <si>
    <t>6492/         PO# 8738</t>
  </si>
  <si>
    <t>6497/         PO# 7653</t>
  </si>
  <si>
    <t>6493/         PO# 8929</t>
  </si>
  <si>
    <t>5224/         PO# 6203</t>
  </si>
  <si>
    <t>6666/         6669</t>
  </si>
  <si>
    <t xml:space="preserve">Provide pre-employment reference check services.  </t>
  </si>
  <si>
    <t xml:space="preserve">Provide services to conduct job analyses and assist the District in creating and replacing pre-employment exams.  </t>
  </si>
  <si>
    <t xml:space="preserve">Provide psychological services for BART Police Department applicants.  </t>
  </si>
  <si>
    <t xml:space="preserve">Provide pre-employment medical services.  </t>
  </si>
  <si>
    <t>Provide services to conduct a review of Best and Final Offers for TOD development at the Millbrae Station.</t>
  </si>
  <si>
    <r>
      <t>Provide the lease of two lift vehicles for use in the District’s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 warehouse (Wayside) and the Whipple Road warehouse.  </t>
    </r>
  </si>
  <si>
    <t>Provide Broadcast, eNews Monitoring and Press Coverage Analytics services to identify content relevant to BART.</t>
  </si>
  <si>
    <t>14-03-01</t>
  </si>
  <si>
    <t>14-03-02</t>
  </si>
  <si>
    <t>14-03-03</t>
  </si>
  <si>
    <t>14-03-04</t>
  </si>
  <si>
    <t>14-03-05</t>
  </si>
  <si>
    <t>14-03-06</t>
  </si>
  <si>
    <t>14-03-07</t>
  </si>
  <si>
    <t>14-03-08</t>
  </si>
  <si>
    <t>14-03-09</t>
  </si>
  <si>
    <t>Office of Civil Rights</t>
  </si>
  <si>
    <t>Systems Engineering</t>
  </si>
  <si>
    <t>Economic Planning Systems, Inc.</t>
  </si>
  <si>
    <t>Zell &amp; Associates</t>
  </si>
  <si>
    <t>Roger M. Avery, P.E.</t>
  </si>
  <si>
    <t>RS2Energy</t>
  </si>
  <si>
    <t>The Alarcon Group, LLC</t>
  </si>
  <si>
    <t>Construction Performance Builders</t>
  </si>
  <si>
    <t>Davillier-Sloan, Inc.</t>
  </si>
  <si>
    <t>R. Sinclair Group, Inc.</t>
  </si>
  <si>
    <t>Dataway</t>
  </si>
  <si>
    <t xml:space="preserve">Provide consulting services in support of evolving land use policy and real estate projects on BART property at numerous station areas. </t>
  </si>
  <si>
    <t xml:space="preserve">Provide public and community outreach services for the West Contra Costa Rail Study Project (wBART). </t>
  </si>
  <si>
    <t>Provide technical and project engineering services for installing Photovoltaic Generation facilities on District property.</t>
  </si>
  <si>
    <t xml:space="preserve">Provide energy management services necessary to achieve the objectives of the District’s energy program.  </t>
  </si>
  <si>
    <t xml:space="preserve">Provide on-call services of an Ombudsperson to support the District’s efforts to resolve construction contractor/subcontractor disputes. </t>
  </si>
  <si>
    <t xml:space="preserve">Provide on-call services of an Ombudsperson to support the District’s efforts to resolve construction contractor/subcontractor disputes.  </t>
  </si>
  <si>
    <t xml:space="preserve">Provide proprietary Checkpoint Firewall software and installation support required to ensure security of the District’s website.  </t>
  </si>
  <si>
    <t>14-04-01</t>
  </si>
  <si>
    <t>14-04-02</t>
  </si>
  <si>
    <t>14-04-03</t>
  </si>
  <si>
    <t>System Safety</t>
  </si>
  <si>
    <t>Allied Barton Security Services</t>
  </si>
  <si>
    <t>SCA Environmental</t>
  </si>
  <si>
    <t>Stericycle</t>
  </si>
  <si>
    <t>Provide Guard Services to assist in the effort to provide additional security at key District facilities in the event of a strike.</t>
  </si>
  <si>
    <t>Provide on-call industrial hygiene testing and consulting services to support the identification, evaluation and control of asbestos and lead containing materials at District facilities.</t>
  </si>
  <si>
    <t xml:space="preserve">Provide services to dispose medical wastes as required under State and local laws.  </t>
  </si>
  <si>
    <t>6//30/14</t>
  </si>
  <si>
    <t>14-05-01</t>
  </si>
  <si>
    <t>Costless Maintenance Services</t>
  </si>
  <si>
    <t xml:space="preserve">Provide plaza cleaning services. </t>
  </si>
  <si>
    <t>14-06-01</t>
  </si>
  <si>
    <t>14-06-02</t>
  </si>
  <si>
    <t>14-06-03</t>
  </si>
  <si>
    <t>Information Technology</t>
  </si>
  <si>
    <t>Pape Material Handling</t>
  </si>
  <si>
    <t>Imperva</t>
  </si>
  <si>
    <t>Accurate Mailings, Inc.</t>
  </si>
  <si>
    <t xml:space="preserve">Provide services to repair bobcat machines for sidewalk, asphalt and concrete repairs. </t>
  </si>
  <si>
    <t xml:space="preserve">Provide services to install critical cyber security infrastructure to monitor database activity. </t>
  </si>
  <si>
    <t xml:space="preserve">Provide mass mailing services. </t>
  </si>
  <si>
    <t>14-07-01</t>
  </si>
  <si>
    <t>14-07-02</t>
  </si>
  <si>
    <t>14-07-03</t>
  </si>
  <si>
    <t>14-07-04</t>
  </si>
  <si>
    <t>14-07-05</t>
  </si>
  <si>
    <t>14-07-06</t>
  </si>
  <si>
    <t>14-07-07</t>
  </si>
  <si>
    <t>Cision</t>
  </si>
  <si>
    <t>Aerc Recycling Solutions</t>
  </si>
  <si>
    <t>Arc LLC</t>
  </si>
  <si>
    <t>Gilbert &amp; Associates</t>
  </si>
  <si>
    <t>H &amp; H Printing</t>
  </si>
  <si>
    <t>Lucky 415 Marketing Promotions</t>
  </si>
  <si>
    <t>IMG College LLC</t>
  </si>
  <si>
    <t xml:space="preserve">Provide eNews Media monitoring and press coverage analytics services. </t>
  </si>
  <si>
    <t>Provide on-call services for handling and disposal of universal wastes as required by state and federal statutes.</t>
  </si>
  <si>
    <t xml:space="preserve">Provide reproduction services to support efforts to print various documents required by the District. </t>
  </si>
  <si>
    <t xml:space="preserve">Provide 50 street teams to distribute flyers regarding the status of labor contract negotiations to BART patrons. </t>
  </si>
  <si>
    <t xml:space="preserve">Provide services to print production of LEP products to comply with Title VI requirements.  </t>
  </si>
  <si>
    <t xml:space="preserve">Provide the printing of BART Customer Survey Forms in three languages to replenish the inventory.  </t>
  </si>
  <si>
    <t xml:space="preserve">Provide in-stadium digital advertising for the upcoming University of California Berkeley football season. </t>
  </si>
  <si>
    <t>14-08-01</t>
  </si>
  <si>
    <t>14-08-02</t>
  </si>
  <si>
    <t>14-08-03</t>
  </si>
  <si>
    <t>14-08-04</t>
  </si>
  <si>
    <t>14-08-05</t>
  </si>
  <si>
    <t>14-08-06</t>
  </si>
  <si>
    <t>14-08-07</t>
  </si>
  <si>
    <t>14-08-08</t>
  </si>
  <si>
    <t>14-08-09</t>
  </si>
  <si>
    <t>14-08-10</t>
  </si>
  <si>
    <t>14-08-11</t>
  </si>
  <si>
    <t>Systems Maintenance/Telecom</t>
  </si>
  <si>
    <t>Assistant Controller</t>
  </si>
  <si>
    <t>Electrical &amp; Mechanical Engineering</t>
  </si>
  <si>
    <t>The Permanente Medical Group, Inc.</t>
  </si>
  <si>
    <t>Ontime Consulting LLC</t>
  </si>
  <si>
    <t>Rumi Uneo</t>
  </si>
  <si>
    <t>Gummerson &amp; Cohain, Inc.</t>
  </si>
  <si>
    <t>Beeson, Tayer &amp; Bodine Apc</t>
  </si>
  <si>
    <t>Global Knowledge</t>
  </si>
  <si>
    <t>J A Frasca &amp; Associates</t>
  </si>
  <si>
    <t>Syserco</t>
  </si>
  <si>
    <t>Techtu Business Solutions</t>
  </si>
  <si>
    <t>Oracle America</t>
  </si>
  <si>
    <t>Milliman, Inc.</t>
  </si>
  <si>
    <t>6981/         6M4304</t>
  </si>
  <si>
    <t>6984/         6M4303</t>
  </si>
  <si>
    <t>6986/         6M4302</t>
  </si>
  <si>
    <t>6880/         PO# 7010</t>
  </si>
  <si>
    <t xml:space="preserve">Provide pre-employment medical examinations and drug screenings.  </t>
  </si>
  <si>
    <t>Provide consulting services to support IT efforts regarding the Maximo System.</t>
  </si>
  <si>
    <t xml:space="preserve">Provide consulting services to support the Labor Relations Department for the 2013 Labor Negotiations. </t>
  </si>
  <si>
    <t>Provide consulting services to support the Labor Relations Department for the 2013 Labor Negotiations.</t>
  </si>
  <si>
    <t xml:space="preserve">Provide training in the maintenance of communications equipment. </t>
  </si>
  <si>
    <t xml:space="preserve">Provide consulting services to support the Accounting Department in resolving issues with the Funds Distribution Project. </t>
  </si>
  <si>
    <t xml:space="preserve">Provide services to repair and upgrade the Exhaust Fan Controller at SFO.  </t>
  </si>
  <si>
    <t xml:space="preserve">Provide consulting services to support BART’s OBIEE post implementation and PeopleSoft Financial Systems.  </t>
  </si>
  <si>
    <t xml:space="preserve">Provide annual maintenance and support services for PeopleSoft Enterprise software. </t>
  </si>
  <si>
    <t>Provide services to conduct actuarial valuations required to estimate the cost of benefits provided to BART employees.</t>
  </si>
  <si>
    <t>14-09-01</t>
  </si>
  <si>
    <t>14-09-02</t>
  </si>
  <si>
    <t>14-09-03</t>
  </si>
  <si>
    <t>14-09-04</t>
  </si>
  <si>
    <t>14-09-05</t>
  </si>
  <si>
    <t>Verizon Business Services</t>
  </si>
  <si>
    <t>Interact Public Safety Systems</t>
  </si>
  <si>
    <t>Bigge Crane and Rigging Co.</t>
  </si>
  <si>
    <t>Dome Printing</t>
  </si>
  <si>
    <t>Police Management Solutions, Inc.</t>
  </si>
  <si>
    <t>6893/         PO# 7021</t>
  </si>
  <si>
    <t xml:space="preserve">Provide proprietary MobileCop software to support the BART Police daily operations.  </t>
  </si>
  <si>
    <t xml:space="preserve">Provide reprinting of 100,000 BART Basics Guide-English rack brochures. </t>
  </si>
  <si>
    <t>Provide services to relocate two accident damaged revenue vehicles with the use of lifting equipment from OCY to ORY.</t>
  </si>
  <si>
    <t>Provide a telephone line (T1 Connection) for the BART Police Department to communicate with the Alameda County Department.</t>
  </si>
  <si>
    <t xml:space="preserve">Provide services to conduct a performance audit to ensure that changes recommended by the NOBLE group are being implemented. </t>
  </si>
  <si>
    <t>14-10-01</t>
  </si>
  <si>
    <t>14-10-02</t>
  </si>
  <si>
    <t>14-10-03</t>
  </si>
  <si>
    <t>14-10-04</t>
  </si>
  <si>
    <t>14-10-05</t>
  </si>
  <si>
    <t>14-10-06</t>
  </si>
  <si>
    <t>14-10-07</t>
  </si>
  <si>
    <t>14-10-08</t>
  </si>
  <si>
    <t>Cyrun</t>
  </si>
  <si>
    <t>Robert Seeley and Associates</t>
  </si>
  <si>
    <t>McAna EDI, Inc.</t>
  </si>
  <si>
    <t>Titan 360</t>
  </si>
  <si>
    <t>Consolidated Printers, Inc.</t>
  </si>
  <si>
    <t>Simmons Machine Tool Corporation</t>
  </si>
  <si>
    <t>Kouroshi Nikoui</t>
  </si>
  <si>
    <t xml:space="preserve">Provide bar code scanners and supporting software for upgrading the evidence management system. </t>
  </si>
  <si>
    <t xml:space="preserve">Provide Administrative Hearing Examiner services for parking citation review hearings.  </t>
  </si>
  <si>
    <t xml:space="preserve">Provide software and technical support to comply with HIPAA regulations regarding the transmission of sensitive personal data.  </t>
  </si>
  <si>
    <t xml:space="preserve">Provide printing of 50,000 BART Basics in Chinese rack brochures in support of Title VI compliance. </t>
  </si>
  <si>
    <t xml:space="preserve">Provide printing cards and sheets to hang in BART Stations to advertise winners of BART’s Blue Sky Festival.  </t>
  </si>
  <si>
    <t xml:space="preserve">Provide the reprinting of 100,000 Transit Connections rack brochures to reflect updated MUNI schedules.  </t>
  </si>
  <si>
    <t xml:space="preserve">Provide updated training on factory wheel trueing machines to BART’s Transit Vehicle Maintenance, RS&amp;S, and EDS personnel. </t>
  </si>
  <si>
    <t>Provide laboratory services in support of criminal investigations.</t>
  </si>
  <si>
    <t>14-11-01</t>
  </si>
  <si>
    <t>14-11-02</t>
  </si>
  <si>
    <t>14-11-03</t>
  </si>
  <si>
    <t>14-11-04</t>
  </si>
  <si>
    <t>14-11-05</t>
  </si>
  <si>
    <t>14-11-06</t>
  </si>
  <si>
    <t>14-11-07</t>
  </si>
  <si>
    <t>14-11-08</t>
  </si>
  <si>
    <t>14-11-09</t>
  </si>
  <si>
    <t>14-11-10</t>
  </si>
  <si>
    <t>14-11-11</t>
  </si>
  <si>
    <t>14-11-12</t>
  </si>
  <si>
    <t>14-11-13</t>
  </si>
  <si>
    <t>14-11-14</t>
  </si>
  <si>
    <t>Integrity Communications and Electronics, Inc.</t>
  </si>
  <si>
    <t>International Contact</t>
  </si>
  <si>
    <t>Accent on Languages</t>
  </si>
  <si>
    <t>Les Freligh</t>
  </si>
  <si>
    <t>Bard Consulting LLC</t>
  </si>
  <si>
    <t>Concentra</t>
  </si>
  <si>
    <t>Oxford Computer Specialist</t>
  </si>
  <si>
    <t>PBS Consulting</t>
  </si>
  <si>
    <t>Roundstone Solutions</t>
  </si>
  <si>
    <t>KIS Computer Center</t>
  </si>
  <si>
    <t>Speed 4 Your Sport</t>
  </si>
  <si>
    <t>Transportation Learning Center</t>
  </si>
  <si>
    <t>6748/         6M4237</t>
  </si>
  <si>
    <t>6750/         6M4294</t>
  </si>
  <si>
    <t>7057/         PO# 10244</t>
  </si>
  <si>
    <t xml:space="preserve">Provide specialized software required for alignment and repair of two-way radios utilized by the District. </t>
  </si>
  <si>
    <t xml:space="preserve">Provide services for the translation of written documents required by the Office of Civil Rights EEO staff for Compliance of Title VI Regulations.  </t>
  </si>
  <si>
    <t xml:space="preserve">Provide translation services to convert source documents to target languages in support of Title VI compliance efforts.  </t>
  </si>
  <si>
    <t>Provide services to assist in the identification and implementation of a work program for the District Surveyor.</t>
  </si>
  <si>
    <t xml:space="preserve">Provide services to conduct a “due diligence” review of office space proposals to accommodate BART.  </t>
  </si>
  <si>
    <t>Provide pre-employment medical examinations and Hepatitis B screening.</t>
  </si>
  <si>
    <t xml:space="preserve">Provide Microsoft Office training to District employees as part of the Information Technology Department Accountability Agreement. </t>
  </si>
  <si>
    <t xml:space="preserve">Provide equipment and support for the Network Configuration Project.  </t>
  </si>
  <si>
    <t xml:space="preserve">Provide NAMPLUS3 Asset Vision proprietary software including upgrades.  </t>
  </si>
  <si>
    <t>Provide consulting services for emergency networking problem determination of intermittent network performance issues.</t>
  </si>
  <si>
    <t xml:space="preserve">Provide emergency support for the Information Technology Department during the BART strike.  </t>
  </si>
  <si>
    <t xml:space="preserve">Provide services to conduct a health and fitness instruction program in an effort to reduce industrial injuries.  </t>
  </si>
  <si>
    <t xml:space="preserve">Provide training to new and journeyman elevator/escalator mechanics for ADA access requirements.  </t>
  </si>
  <si>
    <t xml:space="preserve">Provide printing of 50,000 BART postcards related to the 2013 Labor Negotiations.  </t>
  </si>
  <si>
    <t>14-12-01</t>
  </si>
  <si>
    <t>14-12-02</t>
  </si>
  <si>
    <t>14-12-03</t>
  </si>
  <si>
    <t>14-12-04</t>
  </si>
  <si>
    <t>14-12-05</t>
  </si>
  <si>
    <t>14-12-06</t>
  </si>
  <si>
    <t>14-12-07</t>
  </si>
  <si>
    <t>Office of the General Counsel</t>
  </si>
  <si>
    <t>Capital Development &amp; Control</t>
  </si>
  <si>
    <t>Glynn &amp; Finley, LLP</t>
  </si>
  <si>
    <t>TW Telecom Holdings Inc.</t>
  </si>
  <si>
    <t>Diego Enriquez Maldonado</t>
  </si>
  <si>
    <t>Bear River Associates, Inc.</t>
  </si>
  <si>
    <t>Lino Del Signore</t>
  </si>
  <si>
    <t>Yaaga, Inc.</t>
  </si>
  <si>
    <t>6713/         6M1046</t>
  </si>
  <si>
    <t xml:space="preserve">Provide specialized legal services in connection with Cal/OSHA citations.  </t>
  </si>
  <si>
    <t xml:space="preserve">Provide internet access to the District.  </t>
  </si>
  <si>
    <t xml:space="preserve">Provide consulting services to support BART’s Telestaff Project.  </t>
  </si>
  <si>
    <t xml:space="preserve">Provide proprietary Checkpoint firewall software required to ensure security of the District’s website.  </t>
  </si>
  <si>
    <t xml:space="preserve">Provide consulting services to support the development of the FY14 Capital Improvement Program and Short Range Transit Plan. </t>
  </si>
  <si>
    <t xml:space="preserve">Provide consulting services to provide architectural guidance and support for the upgrade of PeopleSoft Enterprise software. </t>
  </si>
  <si>
    <t>Provide services to maintain BART’s QuickPlanner applications which support trip plan information requests.</t>
  </si>
  <si>
    <t>N/A</t>
  </si>
  <si>
    <t>14-13-01</t>
  </si>
  <si>
    <t>14-13-02</t>
  </si>
  <si>
    <t>14-13-03</t>
  </si>
  <si>
    <t>14-13-04</t>
  </si>
  <si>
    <t xml:space="preserve">Provide transcription and reporting services for arbitrations in compliance with the District’s collective bargaining agreement requirements.  </t>
  </si>
  <si>
    <t xml:space="preserve">Provide arbitration and mediation services by a Consultant chosen pursuant to the District’s collective bargaining agreement requirements. </t>
  </si>
  <si>
    <t xml:space="preserve">Provide arbitration and mediation services by a Consultant chosen pursuant to the District’s collective bargaining agreement requirements.  </t>
  </si>
  <si>
    <t>Aiken &amp; Welch</t>
  </si>
  <si>
    <t>Mark Burstein</t>
  </si>
  <si>
    <t>Christopher Burdick</t>
  </si>
  <si>
    <t>Barry Winograd</t>
  </si>
  <si>
    <t>14-14-01</t>
  </si>
  <si>
    <t>14-14-02</t>
  </si>
  <si>
    <t>14-14-03</t>
  </si>
  <si>
    <t>14-14-04</t>
  </si>
  <si>
    <t>14-14-05</t>
  </si>
  <si>
    <t>14-14-06</t>
  </si>
  <si>
    <t>14-14-07</t>
  </si>
  <si>
    <t>14-14-08</t>
  </si>
  <si>
    <t>14-14-09</t>
  </si>
  <si>
    <t>14-14-10</t>
  </si>
  <si>
    <t>14-14-11</t>
  </si>
  <si>
    <t>14-14-12</t>
  </si>
  <si>
    <t>14-14-13</t>
  </si>
  <si>
    <t>14-14-14</t>
  </si>
  <si>
    <t>14-14-15</t>
  </si>
  <si>
    <t>14-14-16</t>
  </si>
  <si>
    <t>14-14-17</t>
  </si>
  <si>
    <t>14-14-18</t>
  </si>
  <si>
    <t>14-14-19</t>
  </si>
  <si>
    <t>14-14-20</t>
  </si>
  <si>
    <t>14-14-21</t>
  </si>
  <si>
    <t>14-14-22</t>
  </si>
  <si>
    <t>14-14-23</t>
  </si>
  <si>
    <t>14-14-24</t>
  </si>
  <si>
    <t>Cancelled</t>
  </si>
  <si>
    <t>Thomas Angelo</t>
  </si>
  <si>
    <t>Carol Vendrillo</t>
  </si>
  <si>
    <t>Wilma Rader</t>
  </si>
  <si>
    <t>William Riker</t>
  </si>
  <si>
    <t>Ronald Hoh</t>
  </si>
  <si>
    <t>Philip Tamoush</t>
  </si>
  <si>
    <t>Patrick Halter</t>
  </si>
  <si>
    <t>Morris Davis</t>
  </si>
  <si>
    <t>Luella Nelson</t>
  </si>
  <si>
    <t>Joseph Gentile</t>
  </si>
  <si>
    <t>John Kagel</t>
  </si>
  <si>
    <t>Jerilou Cossack</t>
  </si>
  <si>
    <t>Fred D'Orazio</t>
  </si>
  <si>
    <t>Fred D. Butler</t>
  </si>
  <si>
    <t>Franklin Silver</t>
  </si>
  <si>
    <t>Charles A. Askin</t>
  </si>
  <si>
    <t>Barbara Kong-Brown</t>
  </si>
  <si>
    <t>Alexander Cohn</t>
  </si>
  <si>
    <t>Golden Gate Dispute Resolution</t>
  </si>
  <si>
    <t xml:space="preserve">Provide arbitration and mediation services related to ATU 221 hearings by a Consultant chosen pursuant to the District’s collective bargaining agreement requirements.  </t>
  </si>
  <si>
    <t xml:space="preserve">Provide transcription and reporting services for arbitrations in compliance with the District’s collective bargaining agreement requirements. </t>
  </si>
  <si>
    <t>Provide arbitration and mediation services by a Consultant chosen pursuant to the District’s collective bargaining agreement requirements.</t>
  </si>
  <si>
    <t xml:space="preserve">Provide arbitration and mediation services related to the ATU 2-2-1 Hearings by a Consultant chosen pursuant to the District’s collective bargaining agreement requirements.  </t>
  </si>
  <si>
    <t xml:space="preserve">Provide  arbitration and mediation services concerning the Clerical Extra Board by a Consultant chosen pursuant to the District’s collective bargaining agreement requirements.  </t>
  </si>
  <si>
    <t xml:space="preserve">Provide arbitration and mediation services concerning Foreworker Bargaining Unit Work by a Consultant chosen pursuant to the District’s collective bargaining agreement requirements. </t>
  </si>
  <si>
    <t xml:space="preserve">Provide arbitration and mediation services concerning ATU Station Agent staffing and bidding by a Consultant chosen pursuant to the District’s collective bargaining agreement requirements.  </t>
  </si>
  <si>
    <t>Provide arbitration and mediation services related to ATU 221 hearings by a Consultant chosen pursuant to the District’s collective bargaining agreement requirements..</t>
  </si>
  <si>
    <t xml:space="preserve">Provide printing, mailing, and postage for Fleet of the Future flyers. </t>
  </si>
  <si>
    <t>Provide software training and assistance to Maximo users.</t>
  </si>
  <si>
    <t xml:space="preserve">Provide online legal research and associated resource updates in order to maintain compliance with current laws and to research legal issues.  </t>
  </si>
  <si>
    <t xml:space="preserve">Provide renewal License Agreement for proprietary software, maintenance, and technical support for PeopleSoft Maximo.  </t>
  </si>
  <si>
    <t xml:space="preserve">Provide the rental of uniforms for use by System Service personnel to comply with the provisions of the collective bargaining agreement.  </t>
  </si>
  <si>
    <t>14-15-01</t>
  </si>
  <si>
    <t>14-15-02</t>
  </si>
  <si>
    <t>14-15-03</t>
  </si>
  <si>
    <t>14-15-04</t>
  </si>
  <si>
    <t>14-15-05</t>
  </si>
  <si>
    <t>Transportation</t>
  </si>
  <si>
    <t>City Print &amp; Mail</t>
  </si>
  <si>
    <t>Solufy Information Technology</t>
  </si>
  <si>
    <t>West Publishing Corporation</t>
  </si>
  <si>
    <t>Cintas Corporation</t>
  </si>
  <si>
    <t>Dieselmotive Company, Inc.</t>
  </si>
  <si>
    <t>14-16-01</t>
  </si>
  <si>
    <t>14-16-02</t>
  </si>
  <si>
    <t xml:space="preserve">Provide axle grinding services for BART’s revenue vehicle axles.  </t>
  </si>
  <si>
    <t>Babbit Bearing Company</t>
  </si>
  <si>
    <t>Kaltura, Inc.</t>
  </si>
  <si>
    <t xml:space="preserve">Provide temporary bus transport services for BART patrons during the commute hours in the event that a strike was called by BART unions.  </t>
  </si>
  <si>
    <t>14-17-01</t>
  </si>
  <si>
    <t>14-17-02</t>
  </si>
  <si>
    <t>14-17-03</t>
  </si>
  <si>
    <t>West Valley Trailways</t>
  </si>
  <si>
    <t>US Coachways</t>
  </si>
  <si>
    <t>Delta Charter Service</t>
  </si>
  <si>
    <t>14-18-01</t>
  </si>
  <si>
    <t>14-18-02</t>
  </si>
  <si>
    <t>14-18-03</t>
  </si>
  <si>
    <t>14-18-04</t>
  </si>
  <si>
    <t>14-18-05</t>
  </si>
  <si>
    <t>14-18-06</t>
  </si>
  <si>
    <t>14-18-07</t>
  </si>
  <si>
    <t>District Secretary</t>
  </si>
  <si>
    <t xml:space="preserve">Provide services to maintain audio/visual equipment utilized in the Lakeside Boardroom. </t>
  </si>
  <si>
    <t xml:space="preserve">Provide calibration and repair services for electronic profilers used to measure and monitor the condition of traction motors. </t>
  </si>
  <si>
    <t xml:space="preserve">Provide research services to conduct an onboard survey to obtain customer reaction to the planned new seats for BART’s new train cars.  </t>
  </si>
  <si>
    <t xml:space="preserve">Provide services to conduct an on-platform survey to obtain customer reaction to the digital advertising display.  </t>
  </si>
  <si>
    <t xml:space="preserve">Provide Professional Services for proprietary Checkpoint firewall implementation required to ensure security of the District’s website.  </t>
  </si>
  <si>
    <t xml:space="preserve">Provide services to conduct a health and fitness instruction program to reduce industrial injuries to support the District’s attendance initiatives.  </t>
  </si>
  <si>
    <t>SPL Integrated Solutions</t>
  </si>
  <si>
    <t>Payne Fitness Health &amp; Wellness</t>
  </si>
  <si>
    <t>Colortone</t>
  </si>
  <si>
    <t>Bently Nevada</t>
  </si>
  <si>
    <t>Quantum Market Research</t>
  </si>
  <si>
    <t>Q&amp;A Research</t>
  </si>
  <si>
    <t>7147/         6M4293</t>
  </si>
  <si>
    <t xml:space="preserve">Provide services for the production of transit grade self-adhesive machine front fare charts to be applied to fare machines.  </t>
  </si>
  <si>
    <t>14-19-01</t>
  </si>
  <si>
    <t>14-19-02</t>
  </si>
  <si>
    <t>Dillingham &amp; Murphy</t>
  </si>
  <si>
    <t>Division of Labor</t>
  </si>
  <si>
    <t xml:space="preserve">Provide specialized legal services in connection with employment matters. </t>
  </si>
  <si>
    <t>Provide services to assist BART with launching the new “BARTable” website for BART’s reoccurring annual marketing campaigns.</t>
  </si>
  <si>
    <t>14-20-01</t>
  </si>
  <si>
    <t>Rick Rice Communications dba Corporate Communications Consulting</t>
  </si>
  <si>
    <t>Provide consulting services to create a strategic plan to ensure uniformity in the messaging from the BART Board, Staff and third-party advocates resolving labor negotiation issues.</t>
  </si>
  <si>
    <t>14-21-01</t>
  </si>
  <si>
    <t>14-21-02</t>
  </si>
  <si>
    <t>14-21-03</t>
  </si>
  <si>
    <t>14-21-04</t>
  </si>
  <si>
    <t>14-21-05</t>
  </si>
  <si>
    <t>14-21-06</t>
  </si>
  <si>
    <t xml:space="preserve">Provide the reprinting services of 50,000 BART Postcards related to the 2013 Labor Negotiations.  </t>
  </si>
  <si>
    <t xml:space="preserve">Provide specialized legal services in connection with issues relating to labor and employment matters.  </t>
  </si>
  <si>
    <t xml:space="preserve">Provide training and consulting services for the career development of District employees.  </t>
  </si>
  <si>
    <t xml:space="preserve">Provide services to repair seismic switch units to ensure that there are a sufficient number of units available inventory.  </t>
  </si>
  <si>
    <t>Provide services to test pilot an IT-centric portal based on Microsoft SharePoint 2013 to easily access, share and distribute documents.</t>
  </si>
  <si>
    <t>Systems Maintenance</t>
  </si>
  <si>
    <t>Project 2</t>
  </si>
  <si>
    <t>Renne Sloan Holtzman Sakai</t>
  </si>
  <si>
    <t>Dr. Sacha Joseph-Mathews</t>
  </si>
  <si>
    <t>Wiley Price &amp; Radulovich, LLP</t>
  </si>
  <si>
    <t>Earthquake Safety Systems</t>
  </si>
  <si>
    <t>7162/         6M4292</t>
  </si>
  <si>
    <t>7273/         6M1058</t>
  </si>
  <si>
    <t>7293/         6M1018</t>
  </si>
  <si>
    <t>7360/         PO# 7136</t>
  </si>
  <si>
    <t>14-22-01</t>
  </si>
  <si>
    <t>14-22-02</t>
  </si>
  <si>
    <t>14-22-03</t>
  </si>
  <si>
    <t>14-22-04</t>
  </si>
  <si>
    <t>Real Estate and Property Development</t>
  </si>
  <si>
    <t>Andrea Baker Consulting</t>
  </si>
  <si>
    <t>Suttech, Inc.</t>
  </si>
  <si>
    <t>Synchrony Systems, Inc.</t>
  </si>
  <si>
    <t>Kathleen Kelly Consulting</t>
  </si>
  <si>
    <r>
      <t>Provide services to develop and implement a station plaza activation program to provide a safer environment</t>
    </r>
    <r>
      <rPr>
        <sz val="10"/>
        <rFont val="Arial"/>
        <family val="2"/>
      </rPr>
      <t xml:space="preserve">. </t>
    </r>
  </si>
  <si>
    <t xml:space="preserve">Provide consulting services in support of the Operating Budgets department.  </t>
  </si>
  <si>
    <t xml:space="preserve">Provide consulting services associated with the upgrade of the Maris system to the latest version. </t>
  </si>
  <si>
    <t>Provide consulting services to assist the District in the development of funding strategies for future BART vehicles, operating and capital budgets.</t>
  </si>
  <si>
    <t>14-23-01</t>
  </si>
  <si>
    <t>14-23-02</t>
  </si>
  <si>
    <t>14-23-03</t>
  </si>
  <si>
    <t>14-23-04</t>
  </si>
  <si>
    <t>14-23-05</t>
  </si>
  <si>
    <t>14-23-06</t>
  </si>
  <si>
    <t>14-23-07</t>
  </si>
  <si>
    <t>14-23-08</t>
  </si>
  <si>
    <t>14-23-09</t>
  </si>
  <si>
    <t>14-23-10</t>
  </si>
  <si>
    <t>14-23-11</t>
  </si>
  <si>
    <t>14-23-12</t>
  </si>
  <si>
    <t>14-23-13</t>
  </si>
  <si>
    <t>14-23-14</t>
  </si>
  <si>
    <r>
      <t>Provide financial advisory services for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traunch of Go Bond (Election 2004) for seismic safety (Earthquake Safety).  </t>
    </r>
  </si>
  <si>
    <t xml:space="preserve">Provide services for the print production of 50,000 BART Fares &amp; Schedules rack brochures for distribution to stations.  </t>
  </si>
  <si>
    <t xml:space="preserve">Provide services to repair of six (6) spare circuit boards located in the District’s Train Control Rooms. </t>
  </si>
  <si>
    <t xml:space="preserve">Provide software and associated services for maintaining and tracking required training for BART staff.  </t>
  </si>
  <si>
    <t xml:space="preserve">Provide 26 (15) second radio advertising spots on various local stations to broadcast the labor negotiations. </t>
  </si>
  <si>
    <t xml:space="preserve">Provide services to obtain professional services to backfill the position of Sr. Marketing Representative. </t>
  </si>
  <si>
    <t xml:space="preserve">Provide for a cataloguing and archiving system to manage the ongoing accumulation of digital media assets. </t>
  </si>
  <si>
    <t>Provide Professional and Production Support Services for BART’s Title VI Compliant Contract Activities.</t>
  </si>
  <si>
    <t>Provide creative and management services for production of various marketing collateral and research materials.</t>
  </si>
  <si>
    <t xml:space="preserve">Provide annual maintenance and support services for PeopleSoft UPK and People Tools software.  </t>
  </si>
  <si>
    <t xml:space="preserve">Provide specialized legal services related to the appeal of litigation issues.  </t>
  </si>
  <si>
    <t xml:space="preserve">Provide software licenses for mobile device management system for iPhones. </t>
  </si>
  <si>
    <t xml:space="preserve">Provide expert witness testimony relating to the Pirone arbitration.  </t>
  </si>
  <si>
    <t>Finance Administration</t>
  </si>
  <si>
    <t>M&amp;E/Systems Maintenance</t>
  </si>
  <si>
    <t>M&amp;E/Technical Training</t>
  </si>
  <si>
    <t>First Southwest</t>
  </si>
  <si>
    <t>Canine Tactical Operations</t>
  </si>
  <si>
    <t>Sonus</t>
  </si>
  <si>
    <t>Sum Total Systems</t>
  </si>
  <si>
    <t>CBS Radio</t>
  </si>
  <si>
    <t>Andrea Frainier</t>
  </si>
  <si>
    <t>Advanced Systems Group</t>
  </si>
  <si>
    <t>Joseph A. Hearst</t>
  </si>
  <si>
    <t>Airwatch</t>
  </si>
  <si>
    <t>Veolia Transportation Services, Inc. dba Thomas P. Hock &amp; Associates</t>
  </si>
  <si>
    <t xml:space="preserve">Provide services to support the District’s 2013 labor negotiations. </t>
  </si>
  <si>
    <t>7366/         6M7204</t>
  </si>
  <si>
    <t>7371/         6M7211</t>
  </si>
  <si>
    <t>14-24-01</t>
  </si>
  <si>
    <t>14-24-02</t>
  </si>
  <si>
    <t>14-24-03</t>
  </si>
  <si>
    <t>14-24-04</t>
  </si>
  <si>
    <t>Donald Kirk Reynolds</t>
  </si>
  <si>
    <t xml:space="preserve">Daily Journal </t>
  </si>
  <si>
    <t>John Ackers</t>
  </si>
  <si>
    <t>Ripple Effect Media</t>
  </si>
  <si>
    <t>7419/         6M7189</t>
  </si>
  <si>
    <t>Provide consulting services to assist the Accounting Department in resolving issues with the Funds Distribution Project.</t>
  </si>
  <si>
    <t>Provide services for legal advertisements which are required to conduct District business.</t>
  </si>
  <si>
    <t xml:space="preserve">Provide database conversion and analyst support for the Regional Anti-Terrorism and Law Enforcement System (RAILS) Project.  </t>
  </si>
  <si>
    <t xml:space="preserve">Provide on-call videography and editing services for BARTtv projects when required in the absence of BART staff. </t>
  </si>
  <si>
    <t>14-25-01</t>
  </si>
  <si>
    <t>14-25-02</t>
  </si>
  <si>
    <t>14-25-03</t>
  </si>
  <si>
    <t>14-25-04</t>
  </si>
  <si>
    <t>14-25-05</t>
  </si>
  <si>
    <t>14-25-06</t>
  </si>
  <si>
    <t>14-25-07</t>
  </si>
  <si>
    <t>14-25-08</t>
  </si>
  <si>
    <t>14-25-09</t>
  </si>
  <si>
    <t>14-25-10</t>
  </si>
  <si>
    <t>14-25-11</t>
  </si>
  <si>
    <t>14-25-12</t>
  </si>
  <si>
    <t>14-25-13</t>
  </si>
  <si>
    <t>Planning and Development</t>
  </si>
  <si>
    <t>Maintenance &amp; Engineering Technical Training</t>
  </si>
  <si>
    <t>Maintenance &amp; Engineering Non-Revenue Vehicles</t>
  </si>
  <si>
    <t>Sunrise Pacific, Inc.</t>
  </si>
  <si>
    <t>A-Paratransit</t>
  </si>
  <si>
    <t>First Transit</t>
  </si>
  <si>
    <t>Lahlou</t>
  </si>
  <si>
    <t>Megapix Imaging</t>
  </si>
  <si>
    <t>Troy Group, Inc.</t>
  </si>
  <si>
    <t>Kronos, Inc.</t>
  </si>
  <si>
    <t>United Site Services</t>
  </si>
  <si>
    <t>Fong Brothers Printing, Inc.</t>
  </si>
  <si>
    <t>Transportation Certification Services, Inc.</t>
  </si>
  <si>
    <t>Doc Bailey Construction Equipment, Inc.</t>
  </si>
  <si>
    <t xml:space="preserve">Provide specialized consulting services on soil-structural interaction analysis of underground structures for the SBVX project.  </t>
  </si>
  <si>
    <t xml:space="preserve">Provide the reprinting services of 50,000 BART Basics Guide-English rack brochures due to changes in bike blackouts. </t>
  </si>
  <si>
    <t>Provide services for the print production of 150,000 BART Fares &amp; Schedules rack brochures for distribution to stations.</t>
  </si>
  <si>
    <t xml:space="preserve">Provide the reprinting of 100,000 BART Basics 2014 rack brochures in 4 languages.  </t>
  </si>
  <si>
    <t>Provide the printing of 864 4-color displays reflecting new schedules for placement on platforms, kiosks and Station Agent booths.</t>
  </si>
  <si>
    <t xml:space="preserve">Provide annual maintenance renewal for HP printers used by BART’s Accounts Payable Department for printing checks.  </t>
  </si>
  <si>
    <t xml:space="preserve">Provide professional services and support for specialized TeleStaff software utilized for scheduling by BART Police Department.  </t>
  </si>
  <si>
    <t xml:space="preserve">Provide rental and services for portable toilets for the Special Events Parking Program at the Coliseum Station.  </t>
  </si>
  <si>
    <t xml:space="preserve">Provide mass mailing services.  </t>
  </si>
  <si>
    <t xml:space="preserve">Provide specialized technical training on the fundamentals of air brake inspection and operation to meet CPUC requirements. </t>
  </si>
  <si>
    <t>Provide the installation of District-furnished Maintenance Vehicle Detection Devices (MVDDs) on Hi-rail vehicles.</t>
  </si>
  <si>
    <t>14-26-01</t>
  </si>
  <si>
    <t>14-26-02</t>
  </si>
  <si>
    <t>14-26-03</t>
  </si>
  <si>
    <t>14-26-04</t>
  </si>
  <si>
    <t>14-26-05</t>
  </si>
  <si>
    <t>Rightstar Systems</t>
  </si>
  <si>
    <t>Singer Associates</t>
  </si>
  <si>
    <t>Salesforce.com</t>
  </si>
  <si>
    <t>E&amp;M Electric &amp; Machinery, Inc.</t>
  </si>
  <si>
    <t xml:space="preserve">Provide Consulting services to implement RemedyForce Service Desk Solution upgrades for the Help Desk.  </t>
  </si>
  <si>
    <t xml:space="preserve">Provide BART Fleet of the Future seat prototype exhibit signage for outreach events.  </t>
  </si>
  <si>
    <t xml:space="preserve">Provide software maintenance and support services for equipment used to monitor the performance and reliability of mechanical systems. </t>
  </si>
  <si>
    <t xml:space="preserve">Provide renewal  and upgrade of RemedyForce, for BART’s Help Desk for configuration and change management.  </t>
  </si>
  <si>
    <t xml:space="preserve">Provide graphic design and production of online ads.  </t>
  </si>
  <si>
    <t xml:space="preserve">Provide software and services for BART employees with internal video-sharing (similar to YouTube) within WebBART to view training videos, messages from management and related media.  </t>
  </si>
  <si>
    <t xml:space="preserve">Provide paratransit lift van services for potential BART work stoppage.  </t>
  </si>
  <si>
    <t xml:space="preserve">Provide paratransit lift van services required in association with the BART work stoppage.  </t>
  </si>
  <si>
    <t xml:space="preserve">Provide bilingual community outreach services related to Title VI for the Fleet of the Future.  </t>
  </si>
  <si>
    <t xml:space="preserve">Provide consulting services to develop a technology-centered Corporate Knowledge Management Strategy for BART’s project delivery process. </t>
  </si>
  <si>
    <t xml:space="preserve">Provide network engineering services to support master planning, upgrading and virtualization and other efforts. </t>
  </si>
  <si>
    <t xml:space="preserve">Provide legal consulting services for complex employment and post-employment benefit matters. </t>
  </si>
  <si>
    <t>Provide legal services relating to real property acquisition and eminent domain matters regarding the HMC Project.</t>
  </si>
  <si>
    <t>14-27-01</t>
  </si>
  <si>
    <t>14-27-02</t>
  </si>
  <si>
    <t>14-27-03</t>
  </si>
  <si>
    <t>14-27-04</t>
  </si>
  <si>
    <t>14-27-05</t>
  </si>
  <si>
    <t>14-27-06</t>
  </si>
  <si>
    <t>MV Paratransit</t>
  </si>
  <si>
    <t>Meyers Nave Riback Silver &amp; Wilson</t>
  </si>
  <si>
    <t>Netbinder, LLC</t>
  </si>
  <si>
    <t>Trucker Huss</t>
  </si>
  <si>
    <t>14-28-01</t>
  </si>
  <si>
    <t>14-28-02</t>
  </si>
  <si>
    <t>14-28-03</t>
  </si>
  <si>
    <t xml:space="preserve">Provide radio advertising to promote BART’s Holiday Shopping campaign.  </t>
  </si>
  <si>
    <t xml:space="preserve">Provide consulting services to support M&amp;E Track and Grounds maintenance activities.  </t>
  </si>
  <si>
    <t>Real Estate &amp; Property Development</t>
  </si>
  <si>
    <t>Entercom San Francisco</t>
  </si>
  <si>
    <t>Donald Emmons</t>
  </si>
  <si>
    <t>14-29-01</t>
  </si>
  <si>
    <t>14-29-02</t>
  </si>
  <si>
    <t>14-29-03</t>
  </si>
  <si>
    <t>14-29-04</t>
  </si>
  <si>
    <t>14-29-05</t>
  </si>
  <si>
    <t>14-29-06</t>
  </si>
  <si>
    <t>14-29-07</t>
  </si>
  <si>
    <t>Kazer Corporation</t>
  </si>
  <si>
    <t>Microbiz</t>
  </si>
  <si>
    <t>Jill Buschini</t>
  </si>
  <si>
    <t xml:space="preserve">Provide legal services in connection with MTC/DRA matters.  </t>
  </si>
  <si>
    <t xml:space="preserve">Provide services to upgrade security software used to manage card-access control doors to BART’s Police Detective work area.  </t>
  </si>
  <si>
    <t xml:space="preserve">Provide reproduction services to support efforts to print the new Operation Rules &amp; Procedures Manual required by the District.  </t>
  </si>
  <si>
    <r>
      <t>Provide consulting services for outreach event planning and coordination for the “</t>
    </r>
    <r>
      <rPr>
        <i/>
        <sz val="10"/>
        <rFont val="Arial"/>
        <family val="2"/>
      </rPr>
      <t>Fleet of the Future Final Train Car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Model.”</t>
    </r>
    <r>
      <rPr>
        <sz val="10"/>
        <rFont val="Arial"/>
        <family val="2"/>
      </rPr>
      <t xml:space="preserve">  </t>
    </r>
  </si>
  <si>
    <t xml:space="preserve">Provide services to load one damaged BART C-Car onto a trailer in Concord and relocate it to Hayward for repair.  </t>
  </si>
  <si>
    <t xml:space="preserve">Provide services to print 150,000 BART Fares &amp; Schedules rack brochures to replenish the supply available for distribution to stations.  </t>
  </si>
  <si>
    <t xml:space="preserve">Provide software subscription and support for IBM Informix RDBMS utilized as part of the AFC Data Acquisition Systems (DAS). </t>
  </si>
  <si>
    <t>6712/         PO#6390</t>
  </si>
  <si>
    <t>14-30-01</t>
  </si>
  <si>
    <t>14-30-02</t>
  </si>
  <si>
    <t>14-30-03</t>
  </si>
  <si>
    <t>7692/         6M7180</t>
  </si>
  <si>
    <t xml:space="preserve">Provide hardware and software maintenance and support services to control and monitor the District’s traction power and other utilities. </t>
  </si>
  <si>
    <t xml:space="preserve">Provide creative services and graphic design and production support for various upcoming marketing promotions including Blue Sky Festival.  </t>
  </si>
  <si>
    <t>Provide 858 30-second radio advertising spots to promote BART’s service on New Year’s Eve and launch of “BARTable” campaign.</t>
  </si>
  <si>
    <t>Royal Wholesale Electric</t>
  </si>
  <si>
    <t>Clear Channel</t>
  </si>
  <si>
    <t>Bridges Marketing</t>
  </si>
  <si>
    <t>14-31-01</t>
  </si>
  <si>
    <t>14-31-02</t>
  </si>
  <si>
    <t xml:space="preserve">Provide consulting services to support BART’s OBIEE and PeopleSoft Financial Systems.  </t>
  </si>
  <si>
    <t>Bintelx</t>
  </si>
  <si>
    <t>Bureau Veritas</t>
  </si>
  <si>
    <t>7703/         6M4315</t>
  </si>
  <si>
    <t>14-32-01</t>
  </si>
  <si>
    <t>14-32-02</t>
  </si>
  <si>
    <t>14-32-03</t>
  </si>
  <si>
    <t>14-32-04</t>
  </si>
  <si>
    <t>Eyekick Visual Communication</t>
  </si>
  <si>
    <t>Hi Tech Optical, Inc.</t>
  </si>
  <si>
    <t>Jason Siciliano</t>
  </si>
  <si>
    <t>Provide services to upgrades and support for Check Point Eventia Reporter software required to ensure security of the District’s website.</t>
  </si>
  <si>
    <t xml:space="preserve">Provide creative writing services for BART’s strategic brand initiative effort.  </t>
  </si>
  <si>
    <t>Provide eye examinations and prescription safety glasses to SEIU employees.</t>
  </si>
  <si>
    <t xml:space="preserve">Provide the printing of 4-color displays reflecting new platform train schedules in support of a January 1, 2014 bike rules change.  </t>
  </si>
  <si>
    <t>14-33-01</t>
  </si>
  <si>
    <t>14-33-02</t>
  </si>
  <si>
    <t>Delasoft Inc.</t>
  </si>
  <si>
    <t>Effexoft Inc.</t>
  </si>
  <si>
    <t xml:space="preserve">Provide consulting services to support BART’s PeopleSoft Financial Systems.  </t>
  </si>
  <si>
    <t xml:space="preserve">Provide consulting services to support BART’s PeopleSoft HCM Application Upgrade Project.  </t>
  </si>
  <si>
    <t>14-34-01</t>
  </si>
  <si>
    <t>14-34-02</t>
  </si>
  <si>
    <t>14-34-03</t>
  </si>
  <si>
    <t>14-34-04</t>
  </si>
  <si>
    <t>14-34-05</t>
  </si>
  <si>
    <t>14-34-06</t>
  </si>
  <si>
    <t>14-34-07</t>
  </si>
  <si>
    <t>14-34-08</t>
  </si>
  <si>
    <t>14-34-09</t>
  </si>
  <si>
    <t>14-34-10</t>
  </si>
  <si>
    <t>14-34-11</t>
  </si>
  <si>
    <t>14-34-12</t>
  </si>
  <si>
    <t>14-34-13</t>
  </si>
  <si>
    <t>14-34-14</t>
  </si>
  <si>
    <t>Internal Audit</t>
  </si>
  <si>
    <t>Program Management</t>
  </si>
  <si>
    <t xml:space="preserve">Provide services for the Passenger Environment Survey (PES) database and development of the import of database to SQL Server 2005. </t>
  </si>
  <si>
    <t xml:space="preserve">Provide website development services to integrate the BARTable website with bart.gov.  </t>
  </si>
  <si>
    <t xml:space="preserve">Provide services to conduct a passenger survey to evaluate the factors limiting the use of the Clipper Card by BART riders.  </t>
  </si>
  <si>
    <t xml:space="preserve">Provide consulting services for the Clipper research project and Station Profile survey.  </t>
  </si>
  <si>
    <t xml:space="preserve">Provide services to convene and facilitate the Ridership Team to implement the Ridership Development Plans and marketing campaigns. </t>
  </si>
  <si>
    <t xml:space="preserve">Provide software support for content filtering and antivirus protection for BART’s Internet connection.  </t>
  </si>
  <si>
    <t xml:space="preserve">Provide the reprinting of 100,000 BART Transit Connections rack brochures.  </t>
  </si>
  <si>
    <t>Provide services for the reprinting of 100,000 BART Destinations Guide rack brochures.</t>
  </si>
  <si>
    <t>Provide software to be used to perform investigations in support of District security efforts.</t>
  </si>
  <si>
    <t xml:space="preserve">Provide software maintenance and support services for proprietary EmailXtender and Source 1 software.  </t>
  </si>
  <si>
    <t xml:space="preserve">Provide radio advertising spots on KBLX-FM to promote awareness of Black History month.  </t>
  </si>
  <si>
    <t xml:space="preserve">Provide television advertising targeting Chinese language audiences to promote BART services during the 2014 Chinese New Year’s Parade.  </t>
  </si>
  <si>
    <t xml:space="preserve">Provide consulting services to support the condition assessment, removal, and appropriate handling of the installed macramé sculpture at Embarcadero BART Station.  </t>
  </si>
  <si>
    <t>Office Information Systems</t>
  </si>
  <si>
    <t>Blinktag</t>
  </si>
  <si>
    <t>Robert Lockhart</t>
  </si>
  <si>
    <t>Patrick Boland</t>
  </si>
  <si>
    <t>Accuvant</t>
  </si>
  <si>
    <t>Thomas Reuters</t>
  </si>
  <si>
    <t>Bishop Technologies</t>
  </si>
  <si>
    <t>Regina Almaguer</t>
  </si>
  <si>
    <t>KTSF-26</t>
  </si>
  <si>
    <t>Robert M. Hirsch</t>
  </si>
  <si>
    <t>7764/         PO#10124</t>
  </si>
  <si>
    <t>7766/         6M7200</t>
  </si>
  <si>
    <t>7789/         6M7150</t>
  </si>
  <si>
    <t>14-35-01</t>
  </si>
  <si>
    <t>14-35-02</t>
  </si>
  <si>
    <t>14-35-03</t>
  </si>
  <si>
    <t>14-35-04</t>
  </si>
  <si>
    <t>14-35-05</t>
  </si>
  <si>
    <t>14-35-06</t>
  </si>
  <si>
    <t>14-35-07</t>
  </si>
  <si>
    <t>14-35-08</t>
  </si>
  <si>
    <t>14-35-09</t>
  </si>
  <si>
    <t>14-35-10</t>
  </si>
  <si>
    <t>14-35-11</t>
  </si>
  <si>
    <t>14-35-12</t>
  </si>
  <si>
    <t>14-35-13</t>
  </si>
  <si>
    <t>14-35-14</t>
  </si>
  <si>
    <t>Cleary Bros Landscape, Inc.</t>
  </si>
  <si>
    <t>Stewart's Tree Service</t>
  </si>
  <si>
    <t>Fong &amp; Fong Printers</t>
  </si>
  <si>
    <t>The Segal Company</t>
  </si>
  <si>
    <t>Nichols Research, Inc.</t>
  </si>
  <si>
    <t>Yuri Moreno</t>
  </si>
  <si>
    <t>Fruitridge</t>
  </si>
  <si>
    <t>Forensic Image Analysis</t>
  </si>
  <si>
    <t>The Vacuum Shop</t>
  </si>
  <si>
    <t>National Transit Interiors, Inc.</t>
  </si>
  <si>
    <t xml:space="preserve">Provide tree pruning/removal services at stations or other District property.  </t>
  </si>
  <si>
    <t xml:space="preserve">Provide services for the printing of 50,000 BART Safety Guide rack brochures to replenish the supply available for distribution to stations.  </t>
  </si>
  <si>
    <t xml:space="preserve">Provide services for a market study to update compensation data for AFSCME and Non-represented employees.  </t>
  </si>
  <si>
    <t xml:space="preserve">Provide research services to conduct focus group recruiting and facilitation on proposed advertising for the new marketing website, BARTable.  </t>
  </si>
  <si>
    <t>Provide consulting services to support BART’s Tivoli Storage Management and Data Domain.</t>
  </si>
  <si>
    <t xml:space="preserve">Provide services for the print production of 100,000 BART Basics rack brochures in Chinese and Spanish in support of Title VI compliance.  </t>
  </si>
  <si>
    <t>Provide expert witness services in regards to Wanda Johnson et al. v. BART, et. al.</t>
  </si>
  <si>
    <t xml:space="preserve">Provide services for the print production of 100,000 BART Basics rack brochures in English.  </t>
  </si>
  <si>
    <t xml:space="preserve">Provide for the repair of vacuum cleaners used by the transit vehicle staff.  </t>
  </si>
  <si>
    <t xml:space="preserve">Provide for the repair of transit vehicle passenger seat cushion and cover assemblies.  </t>
  </si>
  <si>
    <t>Provide services for the printing of 50,000 BART Safety Guide rack brochures in Korean and Vietnamese language to replenish the supply.</t>
  </si>
  <si>
    <t>7885/         6M4292</t>
  </si>
  <si>
    <t>14-36-01</t>
  </si>
  <si>
    <t>14-36-02</t>
  </si>
  <si>
    <t>14-36-03</t>
  </si>
  <si>
    <t>14-36-04</t>
  </si>
  <si>
    <t>14-36-05</t>
  </si>
  <si>
    <t>14-36-06</t>
  </si>
  <si>
    <t>Controller</t>
  </si>
  <si>
    <t>Clan Keith Consulting, LLC</t>
  </si>
  <si>
    <t>Douglas Wright Consulting</t>
  </si>
  <si>
    <t>Moss Adams LLP, CPAs</t>
  </si>
  <si>
    <t>7853/         6M7189</t>
  </si>
  <si>
    <t>7890/         PO#10469</t>
  </si>
  <si>
    <t>7943/         6M4294</t>
  </si>
  <si>
    <t xml:space="preserve">Provide on-call videography and editing services for BARTtv projects when required in the absence of BART staff.  </t>
  </si>
  <si>
    <t xml:space="preserve">Provide emergency support services for the Information Technology Department for security infrastructure work.  </t>
  </si>
  <si>
    <t xml:space="preserve">Provide consulting services in support of website development projects on an as-needed basis related to BART’s Title VI outreach efforts.  </t>
  </si>
  <si>
    <t xml:space="preserve">Provide advice and guidance relating to transit oriented development (TOD) implementation and specific joint development opportunities. </t>
  </si>
  <si>
    <t>Provide consulting services for the review and update of the District’s Accounting Policies and Procedures.</t>
  </si>
  <si>
    <t>14-37-01</t>
  </si>
  <si>
    <t>14-37-02</t>
  </si>
  <si>
    <t>14-37-03</t>
  </si>
  <si>
    <t>14-37-04</t>
  </si>
  <si>
    <t>14-37-05</t>
  </si>
  <si>
    <t>Audio Mechanics, John Polito</t>
  </si>
  <si>
    <t>Fluoresco Lighting &amp; Signs</t>
  </si>
  <si>
    <t>Transportation Technology Center, Inc. (TTCI)</t>
  </si>
  <si>
    <t>Strizzis</t>
  </si>
  <si>
    <t>7900/         6M1060</t>
  </si>
  <si>
    <t xml:space="preserve">Provide software to update the Automatic Fare Collection (AFC)/Data Acquisition System.  </t>
  </si>
  <si>
    <t xml:space="preserve">Provide expert witness services in regards to Wanda Johnson, et. al. v. BART, et. al.  </t>
  </si>
  <si>
    <t xml:space="preserve">Provide on-call lighting maintenance for parking lots, parking structures, and maintenance yards. </t>
  </si>
  <si>
    <t xml:space="preserve">Provide engineering services to support the BART investigation for the derailment of an out-of-service train on 02/21/2014.  </t>
  </si>
  <si>
    <t xml:space="preserve">Provide catering of food and beverages for attendees at the memorial services honoring a BART Police Officer. </t>
  </si>
  <si>
    <t>14-38-01</t>
  </si>
  <si>
    <t>14-38-02</t>
  </si>
  <si>
    <t>14-38-03</t>
  </si>
  <si>
    <t>14-38-04</t>
  </si>
  <si>
    <t>14-38-05</t>
  </si>
  <si>
    <t>Vincent Electric Motor Co.</t>
  </si>
  <si>
    <t>William Kerekes and Associates, Inc.</t>
  </si>
  <si>
    <t>Bombardier Transportation</t>
  </si>
  <si>
    <t>7925/         PO#7304</t>
  </si>
  <si>
    <t>7957/         6M7209</t>
  </si>
  <si>
    <t>7974/         PO#7135</t>
  </si>
  <si>
    <t xml:space="preserve">Provide services to repair proprietary train control equipment.  </t>
  </si>
  <si>
    <t xml:space="preserve">Provide bilingual community outreach services related to Title VI for the Fleet of the Future and State of Good Repair.  </t>
  </si>
  <si>
    <t>Provide services to conduct compliance monitoring of the District’s safety sensitive contractors.</t>
  </si>
  <si>
    <t>Provide consulting services to further develop BART’s Asset Management and Risk Management plans districtwide using software.</t>
  </si>
  <si>
    <t>Provide repair services for electrical drive motors for elevators, escalators, and ventilation pumps.</t>
  </si>
  <si>
    <t>FY18</t>
  </si>
  <si>
    <t>14-39-01</t>
  </si>
  <si>
    <t>14-39-02</t>
  </si>
  <si>
    <t>14-39-03</t>
  </si>
  <si>
    <t>14-39-04</t>
  </si>
  <si>
    <t>CBR Group</t>
  </si>
  <si>
    <t>CCC Forensic Services</t>
  </si>
  <si>
    <t>Mission Valley Ford</t>
  </si>
  <si>
    <t xml:space="preserve">Provide an artistic two color rendering of a military flag raising ceremony for the Castro Valley BART Station.  </t>
  </si>
  <si>
    <t xml:space="preserve">Provide laboratory services in support of criminal investigations.  </t>
  </si>
  <si>
    <t>Provide a two year lease of two vehicles for use by District managers at the Oakland Shop.</t>
  </si>
  <si>
    <t>14-40-01</t>
  </si>
  <si>
    <t>14-40-02</t>
  </si>
  <si>
    <t>14-40-03</t>
  </si>
  <si>
    <t>14-40-04</t>
  </si>
  <si>
    <t>14-40-05</t>
  </si>
  <si>
    <t>Office of the General Manager</t>
  </si>
  <si>
    <t>Plasser American Corporation</t>
  </si>
  <si>
    <t>Rose Consulting</t>
  </si>
  <si>
    <t>IBM Corporation</t>
  </si>
  <si>
    <t>Enterprise Networking Solutions Inc.</t>
  </si>
  <si>
    <t>Moore Iacofano Goltsman, Inc.</t>
  </si>
  <si>
    <t>7945/         6M1062</t>
  </si>
  <si>
    <t xml:space="preserve">Provide expert witness services in regards to Wanda Johnson, et al. v. BART, et.al.  </t>
  </si>
  <si>
    <t xml:space="preserve">Provide warranty services for hardware supporting AFC systems. </t>
  </si>
  <si>
    <t xml:space="preserve">Provide software to utilize within BART’s virtual desktop infrastructure. </t>
  </si>
  <si>
    <t xml:space="preserve">Provide graphic recording services for the Board of Directors’ two (2) day retreat. </t>
  </si>
  <si>
    <t>Provide a five day training class on tamper vehicle maintenance.</t>
  </si>
  <si>
    <t>14-41-01</t>
  </si>
  <si>
    <t>14-41-02</t>
  </si>
  <si>
    <t>Center for Independent Living</t>
  </si>
  <si>
    <t>Level II, Inc.</t>
  </si>
  <si>
    <t xml:space="preserve">Provide staff support for the Customer Development and Station Access Department. </t>
  </si>
  <si>
    <t xml:space="preserve">Provide a primary and backup system that will connect to the BART Police Department’s TriTech CAD system and CLETS Multiplexer.  </t>
  </si>
  <si>
    <t>14-42-01</t>
  </si>
  <si>
    <t>14-42-02</t>
  </si>
  <si>
    <t>14-42-03</t>
  </si>
  <si>
    <t>14-42-04</t>
  </si>
  <si>
    <t>14-42-05</t>
  </si>
  <si>
    <t>14-42-06</t>
  </si>
  <si>
    <t>14-42-07</t>
  </si>
  <si>
    <t>14-42-08</t>
  </si>
  <si>
    <t>14-42-09</t>
  </si>
  <si>
    <t>14-42-10</t>
  </si>
  <si>
    <t>14-42-11</t>
  </si>
  <si>
    <t>Felicia Kleselhorst</t>
  </si>
  <si>
    <t>Eric Londgren</t>
  </si>
  <si>
    <t>New City America</t>
  </si>
  <si>
    <t>Findly</t>
  </si>
  <si>
    <t>Captivate Network</t>
  </si>
  <si>
    <t>Linked In</t>
  </si>
  <si>
    <t>Kovarus</t>
  </si>
  <si>
    <t>Latitude Geographics Group</t>
  </si>
  <si>
    <t>8100/         6M7219</t>
  </si>
  <si>
    <t xml:space="preserve">Provide the printing of 150,000 BART Fares &amp; Schedules brochures to replenish the supply available for distribution to stations. </t>
  </si>
  <si>
    <t xml:space="preserve">Provide the printing of 100,000 BART Transit Connections brochures to replenish the supply available for distribution to stations. </t>
  </si>
  <si>
    <t>Provide photographic services for the BARTable website, email newsletter, printed newsletter, and photographs of marketing events.</t>
  </si>
  <si>
    <t>Provide advice and guidance relating to the potential sale and/or development of BART properties surrounding the West Oakland, Coliseum and Lake Merritt BART stations.</t>
  </si>
  <si>
    <t>Provide advertisement of BART’s job announcements on industry related websites and magazines.</t>
  </si>
  <si>
    <t xml:space="preserve">Provide 10 15-second advertising spots to promote BART’s Blue Sky Festival sweepstakes and contest. </t>
  </si>
  <si>
    <t xml:space="preserve">Provide advertisement of BART’s job announcements on a social networking website to broaden the District’s ability to fill job vacancies.  </t>
  </si>
  <si>
    <t xml:space="preserve">Provide maintenance renewal for existing Infoblox hardware.  </t>
  </si>
  <si>
    <t>Provide annual license agreement for proprietary software to implement a centralized web accessible portal.</t>
  </si>
  <si>
    <t>Provide funding for the permit and inspection fees required by the State of California for the District’s escalators, elevators, and chairlifts.</t>
  </si>
  <si>
    <t>14-43-01</t>
  </si>
  <si>
    <t>14-43-02</t>
  </si>
  <si>
    <t>14-43-03</t>
  </si>
  <si>
    <t>14-43-04</t>
  </si>
  <si>
    <t>14-43-05</t>
  </si>
  <si>
    <t>14-43-06</t>
  </si>
  <si>
    <t>Provide government relations and public affairs services in Contra Costa and Alameda County to secure support for BART projects.</t>
  </si>
  <si>
    <t>Provide on-call maintenance and repair services for two waste water treatment facilities located in the Concord and the Richmond Yards.</t>
  </si>
  <si>
    <t xml:space="preserve">Provide AutoCAD/Building Information Modeling (BIM) software training.  </t>
  </si>
  <si>
    <t>Provide services to promote BART ridership at Oakland Athletics games.</t>
  </si>
  <si>
    <t xml:space="preserve">Provide benefits consulting services related to complex retirement election issues.  </t>
  </si>
  <si>
    <t>Documentation</t>
  </si>
  <si>
    <t>CAD Masters Inc.</t>
  </si>
  <si>
    <t>Athletics Investment Group LLC</t>
  </si>
  <si>
    <t>Altman &amp; Cronin Benefits Consultants LLC</t>
  </si>
  <si>
    <t>8051/         PO# 6725</t>
  </si>
  <si>
    <t>8106/         PO# 9015</t>
  </si>
  <si>
    <t>8157/         6M1021</t>
  </si>
  <si>
    <t>8158/         6G1131</t>
  </si>
  <si>
    <t>14-44-01</t>
  </si>
  <si>
    <t>14-44-02</t>
  </si>
  <si>
    <t>14-44-03</t>
  </si>
  <si>
    <t>14-44-04</t>
  </si>
  <si>
    <t>Chaudhary &amp; Associates Inc.</t>
  </si>
  <si>
    <t>On-Site Calibration</t>
  </si>
  <si>
    <t>E-Recycling of California</t>
  </si>
  <si>
    <t>8030/         6M3178A</t>
  </si>
  <si>
    <t>8155/         PO# 8929</t>
  </si>
  <si>
    <t>Provide a topographic survey of data and maps for three (3) station sidewalks and access road.</t>
  </si>
  <si>
    <t>Provide services for the recalibration and repair of the District’s mechanical tools and measuring devices.</t>
  </si>
  <si>
    <t xml:space="preserve">Provide services for the recycling of waste as required by state and federal statutes. </t>
  </si>
  <si>
    <t xml:space="preserve">Provide pre-employment medical services. </t>
  </si>
  <si>
    <t>14-45-01</t>
  </si>
  <si>
    <t>14-45-02</t>
  </si>
  <si>
    <t>14-45-03</t>
  </si>
  <si>
    <t>14-45-04</t>
  </si>
  <si>
    <t>14-45-05</t>
  </si>
  <si>
    <t>14-45-06</t>
  </si>
  <si>
    <t>14-45-07</t>
  </si>
  <si>
    <t>14-45-08</t>
  </si>
  <si>
    <t>Transportation &amp; Systems Service</t>
  </si>
  <si>
    <t>United Rentals</t>
  </si>
  <si>
    <t>Porta-Flex Manufacturing</t>
  </si>
  <si>
    <t>Sentenium</t>
  </si>
  <si>
    <t>Bay Area Floor Machine</t>
  </si>
  <si>
    <t>Calitho</t>
  </si>
  <si>
    <t>Hi Voltage Splicing Company</t>
  </si>
  <si>
    <t>8145/         PO# 10292</t>
  </si>
  <si>
    <t>8162/         PO# 6712</t>
  </si>
  <si>
    <t xml:space="preserve">Provide rental of lift equipment for relamping parking lots and BART stations. </t>
  </si>
  <si>
    <t xml:space="preserve">Provide funding for the purchase of field splicing escalator handrails regarding compliance with ADA regulations. </t>
  </si>
  <si>
    <t xml:space="preserve">Provide translation services to convert source documents to target languages in support of Title VI compliance requirements. </t>
  </si>
  <si>
    <t xml:space="preserve">Provide services to repair and maintain floor scrubber machines.  </t>
  </si>
  <si>
    <t xml:space="preserve">Provide data entry of 5,000 self-administered surveys to be completed by BART passengers to assess the new FOTF train car.  </t>
  </si>
  <si>
    <t>Provide printing services of passports, banners, signage, display boards, car cards, and poster displays for the Blue Sky Festival.</t>
  </si>
  <si>
    <t xml:space="preserve">Provide specialized services to splice high-voltage cables and terminations to restore continuity essential to revenue operations. </t>
  </si>
  <si>
    <t>14-46-01</t>
  </si>
  <si>
    <t>14-46-02</t>
  </si>
  <si>
    <t>14-46-03</t>
  </si>
  <si>
    <t>14-46-04</t>
  </si>
  <si>
    <t>14-46-05</t>
  </si>
  <si>
    <t>14-46-06</t>
  </si>
  <si>
    <t>14-46-07</t>
  </si>
  <si>
    <t>14-46-08</t>
  </si>
  <si>
    <t>Equipment Maintenance Services (EMS)</t>
  </si>
  <si>
    <t>Lee L. Davis and Associates</t>
  </si>
  <si>
    <t xml:space="preserve">Provide software and associated services for maintaining and tracking required training for BART staff. </t>
  </si>
  <si>
    <t xml:space="preserve">Provide emergency machining and qualifying of brake cans and steel wheels for a rail maintenance train. </t>
  </si>
  <si>
    <t xml:space="preserve">Provide labor compliance monitoring services to support the District’s efforts regarding various BART public works construction projects. </t>
  </si>
  <si>
    <t xml:space="preserve">Provide labor compliance monitoring services to support the District’s efforts regarding various BART public works construction projects.  </t>
  </si>
  <si>
    <t xml:space="preserve">Provide services to clean and repair uniforms and safety runner rugs used by maintenance staff. </t>
  </si>
  <si>
    <t>14-47-01</t>
  </si>
  <si>
    <t>14-47-02</t>
  </si>
  <si>
    <t>14-47-03</t>
  </si>
  <si>
    <t>14-47-04</t>
  </si>
  <si>
    <t>14-47-05</t>
  </si>
  <si>
    <t>Office of the CIO</t>
  </si>
  <si>
    <t>Allied Network Solutions</t>
  </si>
  <si>
    <t>Total Traffic Network</t>
  </si>
  <si>
    <t>Unterberger &amp; Unterberger</t>
  </si>
  <si>
    <t>8223/         PO# 9724</t>
  </si>
  <si>
    <t>Provide proprietary software license to add Adobe Creative Cloud Desktop Apps.</t>
  </si>
  <si>
    <t>Provide 815 15-second radio advertising spots on five local stations to promote BART’s Blue Sky Festival.</t>
  </si>
  <si>
    <t>Provide services for the print production of 150,000 BART Fares &amp; Schedules brochures in Spanish, Chinese, Vietnamese and Korean.</t>
  </si>
  <si>
    <t>Provide 60 15-second radio advertising spots on five local stations to promote BART’s Blue Sky Festival.</t>
  </si>
  <si>
    <t>Provide transcription and reporting services for arbitrations in compliance with the District’s collective bargaining agreement requirements.</t>
  </si>
  <si>
    <t>14-48-01</t>
  </si>
  <si>
    <t>Barbara Shawcroft</t>
  </si>
  <si>
    <t>14-49-01</t>
  </si>
  <si>
    <t>14-49-02</t>
  </si>
  <si>
    <t>14-49-03</t>
  </si>
  <si>
    <t>14-49-04</t>
  </si>
  <si>
    <t>14-49-05</t>
  </si>
  <si>
    <t>14-49-06</t>
  </si>
  <si>
    <t>Roma Design Group</t>
  </si>
  <si>
    <t>Carousel Industries</t>
  </si>
  <si>
    <t>Therma Corporation</t>
  </si>
  <si>
    <t>Swiger Coil Systems, Inc.</t>
  </si>
  <si>
    <t>Tenisitech</t>
  </si>
  <si>
    <t>8259/         PO# 7730</t>
  </si>
  <si>
    <t>8268/         PO# 7138</t>
  </si>
  <si>
    <t xml:space="preserve">Provide services for proprietary software implementation to assist BART with integrating Geocortex Essentials with Enterprise applications.  </t>
  </si>
  <si>
    <t xml:space="preserve">Provide consulting services to complete the glass elevator design for the Union City BART Station. </t>
  </si>
  <si>
    <t>Provide maintenance and upgrades for proprietary software and hardware used to provide wireless technology.</t>
  </si>
  <si>
    <t xml:space="preserve">Provide maintenance and repair services for computer A/C units located on LKS20. </t>
  </si>
  <si>
    <t xml:space="preserve">Provide services to repair five (5) additional traction motors. </t>
  </si>
  <si>
    <t>Provide consulting services for active directory audit, support, and master planning.</t>
  </si>
  <si>
    <t>14-50-01</t>
  </si>
  <si>
    <t>14-50-02</t>
  </si>
  <si>
    <t>14-50-03</t>
  </si>
  <si>
    <t>14-50-04</t>
  </si>
  <si>
    <t>14-50-05</t>
  </si>
  <si>
    <t>Eaton Corporation</t>
  </si>
  <si>
    <t>Alh Urban &amp; Regional Economics</t>
  </si>
  <si>
    <t>ESRI</t>
  </si>
  <si>
    <t>Vision Pro Systems LLC</t>
  </si>
  <si>
    <t>Vennasoft Inc.</t>
  </si>
  <si>
    <t xml:space="preserve">Provide an update for the study of BART’s contributions to the Bay Area.  </t>
  </si>
  <si>
    <t xml:space="preserve">Provide professional services of an expert functional lead for PeopleSoft upgrade specifically for Payroll, Time &amp; Labor, and Commitment Control. </t>
  </si>
  <si>
    <t>Provide services to perform a study of switching transients and site investigation.</t>
  </si>
  <si>
    <t xml:space="preserve">Provide professional services including customizations, creating and building technical documentation. </t>
  </si>
  <si>
    <t>Provide consulting services for the development of a prototype 3-D CityEngine web scene portal depicting various BART facilities.</t>
  </si>
  <si>
    <t>14-51-01</t>
  </si>
  <si>
    <t>14-51-02</t>
  </si>
  <si>
    <t>14-51-03</t>
  </si>
  <si>
    <t>14-51-04</t>
  </si>
  <si>
    <t>14-51-05</t>
  </si>
  <si>
    <t>Alameda County Sheriff's Office</t>
  </si>
  <si>
    <t>Guidance Software</t>
  </si>
  <si>
    <t>Isotech Pest Management</t>
  </si>
  <si>
    <t>8251/         PO# 9865</t>
  </si>
  <si>
    <t>8338/         6M7216</t>
  </si>
  <si>
    <t xml:space="preserve">Provide services to backfill the position of Sr. Marketing Representative.  </t>
  </si>
  <si>
    <t xml:space="preserve">Provide services to inspect 669 rail cars for the presence of bed bugs and treat any cars found to contain the insects. </t>
  </si>
  <si>
    <t xml:space="preserve">Provide proprietary software for recovery of digital data from District computers, cellphones and other approved electronics.  </t>
  </si>
  <si>
    <t>Provide services for the print production of 150,000 BART Basics-English rack brochures.</t>
  </si>
  <si>
    <t xml:space="preserve">Provide facilities for yearly firearms training for Police Officers. </t>
  </si>
  <si>
    <t>14-52-01</t>
  </si>
  <si>
    <t>14-52-02</t>
  </si>
  <si>
    <t>14-52-03</t>
  </si>
  <si>
    <t>14-52-04</t>
  </si>
  <si>
    <t>14-52-05</t>
  </si>
  <si>
    <t>Office of Civil Rights and System Safety</t>
  </si>
  <si>
    <t>City Carshare</t>
  </si>
  <si>
    <t>Lahlouh</t>
  </si>
  <si>
    <t>Watermark Press</t>
  </si>
  <si>
    <t>Safway Group</t>
  </si>
  <si>
    <t>8345/8403</t>
  </si>
  <si>
    <t xml:space="preserve">Provide City CarShare services for District staff to utilize around the Bay Area. </t>
  </si>
  <si>
    <t>Provide services for the print production of 50,000 BART Basics rack brochures in Vietnamese and Korean.</t>
  </si>
  <si>
    <t>Provide services for the print production of 150,000 SFO Airport Guide and 50,000 Oakland Airport Guide rack brochures.</t>
  </si>
  <si>
    <t xml:space="preserve">Provide services for the erection and removal of scaffolding to enable the removal of the artwork “Legs” inside the Embarcadero Station. </t>
  </si>
  <si>
    <t>Provide services for the print production of 150,000 BART Destinations Guide rack brochures.</t>
  </si>
  <si>
    <t>14-53-01</t>
  </si>
  <si>
    <t>14-53-02</t>
  </si>
  <si>
    <t>14-53-03</t>
  </si>
  <si>
    <t>14-53-04</t>
  </si>
  <si>
    <t>14-53-05</t>
  </si>
  <si>
    <t>14-53-06</t>
  </si>
  <si>
    <t>14-53-07</t>
  </si>
  <si>
    <t>Office of the Independent Police Auditor</t>
  </si>
  <si>
    <t>Titan Outdoor LLC</t>
  </si>
  <si>
    <t>The CBR Group</t>
  </si>
  <si>
    <t>Jim Gardiner</t>
  </si>
  <si>
    <t>8349/         PO# 12262</t>
  </si>
  <si>
    <t>8434/         PO# 12052</t>
  </si>
  <si>
    <t>8445/         PO# 12307</t>
  </si>
  <si>
    <t xml:space="preserve">Provide additional signage required for the Fleet of the Future Roadshow. </t>
  </si>
  <si>
    <t xml:space="preserve">Provide services to dispose medical wastes as required under State and local laws. </t>
  </si>
  <si>
    <t>Provide an artistic two-color rendering of a military flag raising ceremony for the Castro Valley BART Station.</t>
  </si>
  <si>
    <t xml:space="preserve">Provide data entry of 5,000 self-administered surveys to be completed by BART passengers to assess the new FOTF train car. </t>
  </si>
  <si>
    <t xml:space="preserve">Provide service to conduct investigations of complaints on an on-call basis. </t>
  </si>
  <si>
    <t xml:space="preserve">Provide services to repair two scanners used for an intrusion alarm system essential to ensure safety and security. </t>
  </si>
  <si>
    <t>Provide onsite calibration services for mechanical tools and measuring devices to comply with PUC calibration requirements.</t>
  </si>
  <si>
    <t>14-54-01</t>
  </si>
  <si>
    <t>14-54-02</t>
  </si>
  <si>
    <t>14-54-03</t>
  </si>
  <si>
    <t>14-54-04</t>
  </si>
  <si>
    <t>14-54-05</t>
  </si>
  <si>
    <t>14-54-06</t>
  </si>
  <si>
    <t>Learn It!</t>
  </si>
  <si>
    <t>Wolf Consulting Group, Inc.</t>
  </si>
  <si>
    <t>8482/         6M7218</t>
  </si>
  <si>
    <t>8496/         6M5076</t>
  </si>
  <si>
    <t xml:space="preserve">Provide Microsoft Office training to the M&amp;E training staff. </t>
  </si>
  <si>
    <t>Provide for CatDV software upgrade for the new MAC editing system.</t>
  </si>
  <si>
    <t xml:space="preserve">Provide psychological services for BART Police Department applicants. </t>
  </si>
  <si>
    <r>
      <t xml:space="preserve">Provide consulting services for outreach event planning and coordination for the </t>
    </r>
    <r>
      <rPr>
        <i/>
        <sz val="10"/>
        <rFont val="Arial"/>
        <family val="2"/>
      </rPr>
      <t>“fleet of the Future Final Train Car Model.”</t>
    </r>
    <r>
      <rPr>
        <sz val="10"/>
        <rFont val="Arial"/>
        <family val="2"/>
      </rPr>
      <t xml:space="preserve"> </t>
    </r>
  </si>
  <si>
    <t xml:space="preserve">Provide training classes for the Office of the CIO. </t>
  </si>
  <si>
    <t xml:space="preserve">Provide engineering services to support the BART investigation for the derailment of an out-of-service train on 02/21/2014. </t>
  </si>
  <si>
    <t>14-55-01</t>
  </si>
  <si>
    <t>14-55-02</t>
  </si>
  <si>
    <t>14-55-03</t>
  </si>
  <si>
    <t>14-55-04</t>
  </si>
  <si>
    <t>14-55-05</t>
  </si>
  <si>
    <t>14-55-06</t>
  </si>
  <si>
    <t>14-55-07</t>
  </si>
  <si>
    <t>14-55-08</t>
  </si>
  <si>
    <t>14-55-09</t>
  </si>
  <si>
    <t>Cromer Equipment Company</t>
  </si>
  <si>
    <t>Collection Plus</t>
  </si>
  <si>
    <t>Professional Dynamics, Inc. (PDI)</t>
  </si>
  <si>
    <t>Accounting Principals</t>
  </si>
  <si>
    <t>Maria Luisa Avena</t>
  </si>
  <si>
    <t>Nscaled, Inc.</t>
  </si>
  <si>
    <t>360 Total Concept</t>
  </si>
  <si>
    <t>8448/         6M4364</t>
  </si>
  <si>
    <t>Provide services to refurbish of up to 10 car cleaner electric carts.</t>
  </si>
  <si>
    <t xml:space="preserve">Provide services to perform onsite drug/alcohol collection services for testing of safety sensitive employees required by the DOT. </t>
  </si>
  <si>
    <t xml:space="preserve">Provide consulting services to review policies, communications and procedures regarding the absence management program. </t>
  </si>
  <si>
    <t xml:space="preserve">Provide for specialized, professional level temporary help services to supplement District staffing in the areas of finance and accounting. </t>
  </si>
  <si>
    <t>Provide services to support the OCR staff in maintaining data for contract reporting requirements and contract outreach activities.</t>
  </si>
  <si>
    <t xml:space="preserve">Provide a cloud based disaster recovery solution for BART’s Financial applications. </t>
  </si>
  <si>
    <t xml:space="preserve">Provide consulting services for a market study to update compensation data for AFSCME and non-represented employees. </t>
  </si>
  <si>
    <t xml:space="preserve">Provide outreach to small businesses to support BART’s Small Business Programs. </t>
  </si>
  <si>
    <t>14-56-01</t>
  </si>
  <si>
    <t>14-56-02</t>
  </si>
  <si>
    <t xml:space="preserve">Provide software utilized to support BART’s virtual desktop infrastructure. </t>
  </si>
  <si>
    <t xml:space="preserve">Provide maintenance renewal and support services for existing hardware and software for the Web Application Firewall. </t>
  </si>
  <si>
    <t>14-57-01</t>
  </si>
  <si>
    <t>14-57-02</t>
  </si>
  <si>
    <t>Latus Solutions</t>
  </si>
  <si>
    <t>8687/         6M4370</t>
  </si>
  <si>
    <t>Provide consulting services to provide management support to improve the overall technology environment.</t>
  </si>
  <si>
    <t>The Labor Compliance Managers</t>
  </si>
  <si>
    <t xml:space="preserve">Provide consulting services, with the original artist, to support the condition assessment, removal of the installed macramé sculpture currently located at the Embarcadero BART Station.  </t>
  </si>
  <si>
    <t>FY17</t>
  </si>
  <si>
    <t>Total Items</t>
  </si>
  <si>
    <t>Total Count Less $25K</t>
  </si>
  <si>
    <t>Total Count Between $25K to $50K</t>
  </si>
  <si>
    <t>Total Count Between $50K to $100K</t>
  </si>
  <si>
    <t>Over $100K</t>
  </si>
  <si>
    <t>Sole Source</t>
  </si>
  <si>
    <t>Total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</si>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</sst>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[$$-409]#,##0"/>
    <numFmt numFmtId="165" formatCode="&quot;$&quot;#,##0"/>
    <numFmt numFmtId="166" formatCode="mm/dd/yy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165" fontId="2" fillId="0" borderId="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wrapText="1"/>
    </xf>
    <xf numFmtId="164" fontId="2" fillId="0" borderId="1" xfId="0" applyNumberFormat="1" applyFont="1" applyBorder="1" applyAlignment="1" applyProtection="1">
      <alignment horizontal="center"/>
    </xf>
    <xf numFmtId="9" fontId="2" fillId="0" borderId="1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0" xfId="0" applyNumberFormat="1" applyAlignment="1">
      <alignment horizontal="left"/>
    </xf>
    <xf numFmtId="49" fontId="2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0" xfId="0" applyFont="1"/>
    <xf numFmtId="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5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9" fontId="5" fillId="0" borderId="0" xfId="0" applyNumberFormat="1" applyFont="1"/>
    <xf numFmtId="0" fontId="5" fillId="0" borderId="0" xfId="0" applyFont="1" applyAlignment="1">
      <alignment horizontal="center"/>
    </xf>
    <xf numFmtId="5" fontId="4" fillId="0" borderId="1" xfId="0" applyNumberFormat="1" applyFont="1" applyBorder="1"/>
    <xf numFmtId="0" fontId="5" fillId="0" borderId="1" xfId="0" applyFont="1" applyBorder="1" applyAlignment="1">
      <alignment wrapText="1"/>
    </xf>
    <xf numFmtId="5" fontId="0" fillId="0" borderId="0" xfId="0" applyNumberFormat="1"/>
    <xf numFmtId="5" fontId="6" fillId="0" borderId="0" xfId="0" applyNumberFormat="1" applyFont="1"/>
    <xf numFmtId="49" fontId="5" fillId="0" borderId="0" xfId="0" applyNumberFormat="1" applyFont="1" applyAlignment="1">
      <alignment horizontal="right"/>
    </xf>
    <xf numFmtId="0" fontId="0" fillId="0" borderId="0" xfId="0" applyAlignment="1"/>
    <xf numFmtId="165" fontId="6" fillId="0" borderId="0" xfId="0" applyNumberFormat="1" applyFont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5" fontId="4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 applyProtection="1">
      <alignment wrapText="1"/>
    </xf>
    <xf numFmtId="6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5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5" fontId="1" fillId="0" borderId="1" xfId="0" applyNumberFormat="1" applyFont="1" applyBorder="1" applyAlignment="1">
      <alignment wrapText="1"/>
    </xf>
    <xf numFmtId="5" fontId="1" fillId="0" borderId="1" xfId="0" applyNumberFormat="1" applyFont="1" applyBorder="1" applyAlignment="1">
      <alignment horizontal="right" wrapText="1"/>
    </xf>
    <xf numFmtId="9" fontId="1" fillId="0" borderId="1" xfId="0" applyNumberFormat="1" applyFont="1" applyBorder="1" applyAlignment="1" applyProtection="1">
      <alignment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165" fontId="1" fillId="0" borderId="1" xfId="0" applyNumberFormat="1" applyFont="1" applyBorder="1" applyAlignment="1" applyProtection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2" applyFont="1" applyAlignment="1">
      <alignment wrapText="1"/>
    </xf>
    <xf numFmtId="38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0" fillId="0" borderId="0" xfId="2" applyFont="1" applyAlignment="1"/>
    <xf numFmtId="6" fontId="11" fillId="0" borderId="0" xfId="0" applyNumberFormat="1" applyFont="1" applyAlignment="1">
      <alignment horizontal="center"/>
    </xf>
    <xf numFmtId="0" fontId="12" fillId="0" borderId="0" xfId="2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2" applyBorder="1"/>
    <xf numFmtId="0" fontId="13" fillId="0" borderId="1" xfId="2" applyFont="1" applyBorder="1" applyAlignment="1" applyProtection="1">
      <alignment horizontal="center" wrapText="1"/>
    </xf>
    <xf numFmtId="165" fontId="1" fillId="0" borderId="2" xfId="2" applyNumberFormat="1" applyBorder="1"/>
    <xf numFmtId="165" fontId="13" fillId="0" borderId="3" xfId="2" applyNumberFormat="1" applyFont="1" applyBorder="1" applyAlignment="1" applyProtection="1">
      <alignment horizontal="center"/>
    </xf>
    <xf numFmtId="0" fontId="1" fillId="0" borderId="0" xfId="2"/>
    <xf numFmtId="0" fontId="14" fillId="0" borderId="0" xfId="2" applyFont="1" applyBorder="1" applyAlignment="1"/>
    <xf numFmtId="0" fontId="15" fillId="0" borderId="0" xfId="2" applyFont="1" applyAlignment="1">
      <alignment horizontal="center"/>
    </xf>
    <xf numFmtId="6" fontId="15" fillId="0" borderId="0" xfId="2" applyNumberFormat="1" applyFont="1" applyAlignment="1">
      <alignment horizontal="center"/>
    </xf>
    <xf numFmtId="0" fontId="16" fillId="0" borderId="0" xfId="2" applyFont="1" applyBorder="1" applyAlignment="1">
      <alignment vertical="center"/>
    </xf>
    <xf numFmtId="0" fontId="14" fillId="0" borderId="0" xfId="2" applyFont="1"/>
    <xf numFmtId="0" fontId="17" fillId="0" borderId="0" xfId="2" applyFont="1" applyBorder="1" applyAlignment="1">
      <alignment horizontal="left" vertical="center"/>
    </xf>
  </cellXfs>
  <cellStyles count="3">
    <cellStyle name="Normal" xfId="0" builtinId="0"/>
    <cellStyle name="Normal 2" xfId="2"/>
    <cellStyle name="Percent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1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8.7109375" style="12" customWidth="1"/>
    <col min="2" max="2" width="25.7109375" style="2" customWidth="1"/>
    <col min="3" max="3" width="23.42578125" customWidth="1"/>
    <col min="4" max="4" width="12.7109375" style="4" customWidth="1"/>
    <col min="5" max="5" width="58.42578125" style="2" customWidth="1"/>
    <col min="6" max="8" width="11.7109375" style="3" customWidth="1"/>
    <col min="9" max="9" width="11.5703125" customWidth="1"/>
    <col min="10" max="10" width="10.28515625" style="5" customWidth="1"/>
    <col min="11" max="11" width="6.28515625" style="1" customWidth="1"/>
    <col min="12" max="12" width="6.5703125" style="1" customWidth="1"/>
    <col min="13" max="13" width="10.5703125" customWidth="1"/>
    <col min="14" max="14" width="5.7109375" style="1" customWidth="1"/>
    <col min="15" max="15" width="12.42578125" customWidth="1"/>
    <col min="16" max="16" width="11.85546875" customWidth="1"/>
    <col min="17" max="17" width="11" customWidth="1"/>
    <col min="18" max="18" width="9.140625" customWidth="1"/>
    <col min="19" max="19" width="10.140625" customWidth="1"/>
  </cols>
  <sheetData>
    <row r="1" spans="1:19" ht="24" x14ac:dyDescent="0.2">
      <c r="A1" s="13" t="s">
        <v>0</v>
      </c>
      <c r="B1" s="10" t="s">
        <v>6</v>
      </c>
      <c r="C1" s="10" t="s">
        <v>7</v>
      </c>
      <c r="D1" s="10" t="s">
        <v>13</v>
      </c>
      <c r="E1" s="10" t="s">
        <v>8</v>
      </c>
      <c r="F1" s="6" t="s">
        <v>9</v>
      </c>
      <c r="G1" s="6" t="s">
        <v>10</v>
      </c>
      <c r="H1" s="7" t="s">
        <v>1</v>
      </c>
      <c r="I1" s="8" t="s">
        <v>11</v>
      </c>
      <c r="J1" s="9" t="s">
        <v>2</v>
      </c>
      <c r="K1" s="10" t="s">
        <v>15</v>
      </c>
      <c r="L1" s="10" t="s">
        <v>12</v>
      </c>
      <c r="M1" s="8" t="s">
        <v>3</v>
      </c>
      <c r="N1" s="8" t="s">
        <v>5</v>
      </c>
      <c r="O1" s="8" t="s">
        <v>14</v>
      </c>
      <c r="P1" s="8" t="s">
        <v>16</v>
      </c>
      <c r="Q1" s="8" t="s">
        <v>28</v>
      </c>
      <c r="R1" s="8" t="s">
        <v>1090</v>
      </c>
      <c r="S1" s="8" t="s">
        <v>800</v>
      </c>
    </row>
    <row r="2" spans="1:19" ht="26.25" customHeight="1" x14ac:dyDescent="0.2">
      <c r="A2" s="43" t="s">
        <v>17</v>
      </c>
      <c r="B2" s="45" t="s">
        <v>35</v>
      </c>
      <c r="C2" s="45" t="s">
        <v>48</v>
      </c>
      <c r="D2" s="53">
        <v>5834</v>
      </c>
      <c r="E2" s="46" t="s">
        <v>66</v>
      </c>
      <c r="F2" s="41">
        <f>28520*3</f>
        <v>85560</v>
      </c>
      <c r="G2" s="41">
        <f>28520*3</f>
        <v>85560</v>
      </c>
      <c r="H2" s="42">
        <v>0</v>
      </c>
      <c r="I2" s="49">
        <f>G2+H2</f>
        <v>85560</v>
      </c>
      <c r="J2" s="51">
        <f>IF(G2=0,100%,(I2-G2)/G2)</f>
        <v>0</v>
      </c>
      <c r="K2" s="48" t="s">
        <v>83</v>
      </c>
      <c r="L2" s="48" t="s">
        <v>83</v>
      </c>
      <c r="M2" s="38">
        <v>42185</v>
      </c>
      <c r="N2" s="48" t="s">
        <v>84</v>
      </c>
      <c r="O2" s="41">
        <f>28520+28520</f>
        <v>57040</v>
      </c>
      <c r="P2" s="41">
        <v>28520</v>
      </c>
      <c r="Q2" s="41"/>
      <c r="R2" s="41"/>
      <c r="S2" s="41"/>
    </row>
    <row r="3" spans="1:19" s="15" customFormat="1" ht="26.25" customHeight="1" x14ac:dyDescent="0.2">
      <c r="A3" s="43" t="s">
        <v>18</v>
      </c>
      <c r="B3" s="46" t="s">
        <v>36</v>
      </c>
      <c r="C3" s="45" t="s">
        <v>49</v>
      </c>
      <c r="D3" s="39">
        <v>6105</v>
      </c>
      <c r="E3" s="46" t="s">
        <v>67</v>
      </c>
      <c r="F3" s="35">
        <f>5038*3</f>
        <v>15114</v>
      </c>
      <c r="G3" s="40">
        <f>5038*3</f>
        <v>15114</v>
      </c>
      <c r="H3" s="35">
        <v>0</v>
      </c>
      <c r="I3" s="49">
        <f t="shared" ref="I3:I18" si="0">G3+H3</f>
        <v>15114</v>
      </c>
      <c r="J3" s="51">
        <f t="shared" ref="J3:J18" si="1">IF(G3=0,100%,(I3-G3)/G3)</f>
        <v>0</v>
      </c>
      <c r="K3" s="48" t="s">
        <v>83</v>
      </c>
      <c r="L3" s="48" t="s">
        <v>83</v>
      </c>
      <c r="M3" s="38">
        <v>41820</v>
      </c>
      <c r="N3" s="48" t="s">
        <v>84</v>
      </c>
      <c r="O3" s="41">
        <v>5038</v>
      </c>
      <c r="P3" s="41">
        <v>5038</v>
      </c>
      <c r="Q3" s="41">
        <v>5038</v>
      </c>
      <c r="R3" s="41"/>
      <c r="S3" s="41"/>
    </row>
    <row r="4" spans="1:19" s="15" customFormat="1" ht="38.25" customHeight="1" x14ac:dyDescent="0.2">
      <c r="A4" s="43" t="s">
        <v>19</v>
      </c>
      <c r="B4" s="46" t="s">
        <v>37</v>
      </c>
      <c r="C4" s="44" t="s">
        <v>50</v>
      </c>
      <c r="D4" s="39">
        <v>6270</v>
      </c>
      <c r="E4" s="46" t="s">
        <v>68</v>
      </c>
      <c r="F4" s="35">
        <f>25000*3</f>
        <v>75000</v>
      </c>
      <c r="G4" s="40">
        <f>25000*3</f>
        <v>75000</v>
      </c>
      <c r="H4" s="35">
        <v>0</v>
      </c>
      <c r="I4" s="49">
        <f t="shared" si="0"/>
        <v>75000</v>
      </c>
      <c r="J4" s="51">
        <f t="shared" si="1"/>
        <v>0</v>
      </c>
      <c r="K4" s="48" t="s">
        <v>83</v>
      </c>
      <c r="L4" s="48" t="s">
        <v>83</v>
      </c>
      <c r="M4" s="38">
        <v>41820</v>
      </c>
      <c r="N4" s="48" t="s">
        <v>84</v>
      </c>
      <c r="O4" s="41">
        <v>25000</v>
      </c>
      <c r="P4" s="41">
        <v>25000</v>
      </c>
      <c r="Q4" s="41">
        <v>25000</v>
      </c>
      <c r="R4" s="41"/>
      <c r="S4" s="41"/>
    </row>
    <row r="5" spans="1:19" s="15" customFormat="1" ht="26.25" customHeight="1" x14ac:dyDescent="0.2">
      <c r="A5" s="43" t="s">
        <v>20</v>
      </c>
      <c r="B5" s="46" t="s">
        <v>38</v>
      </c>
      <c r="C5" s="44" t="s">
        <v>51</v>
      </c>
      <c r="D5" s="34">
        <v>6293</v>
      </c>
      <c r="E5" s="46" t="s">
        <v>69</v>
      </c>
      <c r="F5" s="35">
        <v>28485</v>
      </c>
      <c r="G5" s="40">
        <v>28485</v>
      </c>
      <c r="H5" s="35">
        <v>0</v>
      </c>
      <c r="I5" s="49">
        <f t="shared" si="0"/>
        <v>28485</v>
      </c>
      <c r="J5" s="51">
        <f t="shared" si="1"/>
        <v>0</v>
      </c>
      <c r="K5" s="48" t="s">
        <v>83</v>
      </c>
      <c r="L5" s="48" t="s">
        <v>83</v>
      </c>
      <c r="M5" s="38">
        <v>41517</v>
      </c>
      <c r="N5" s="37"/>
      <c r="O5" s="41">
        <v>28485</v>
      </c>
      <c r="P5" s="41"/>
      <c r="Q5" s="41"/>
      <c r="R5" s="41"/>
      <c r="S5" s="41"/>
    </row>
    <row r="6" spans="1:19" s="15" customFormat="1" ht="38.25" customHeight="1" x14ac:dyDescent="0.2">
      <c r="A6" s="43" t="s">
        <v>21</v>
      </c>
      <c r="B6" s="46" t="s">
        <v>39</v>
      </c>
      <c r="C6" s="44" t="s">
        <v>52</v>
      </c>
      <c r="D6" s="34">
        <v>6303</v>
      </c>
      <c r="E6" s="46" t="s">
        <v>70</v>
      </c>
      <c r="F6" s="35">
        <v>40933</v>
      </c>
      <c r="G6" s="40">
        <v>40933</v>
      </c>
      <c r="H6" s="35">
        <v>0</v>
      </c>
      <c r="I6" s="49">
        <f t="shared" si="0"/>
        <v>40933</v>
      </c>
      <c r="J6" s="51">
        <f t="shared" si="1"/>
        <v>0</v>
      </c>
      <c r="K6" s="48" t="s">
        <v>83</v>
      </c>
      <c r="L6" s="48" t="s">
        <v>85</v>
      </c>
      <c r="M6" s="38">
        <v>41639</v>
      </c>
      <c r="N6" s="37"/>
      <c r="O6" s="41">
        <v>40933</v>
      </c>
      <c r="P6" s="41"/>
      <c r="Q6" s="41"/>
      <c r="R6" s="41"/>
      <c r="S6" s="41"/>
    </row>
    <row r="7" spans="1:19" s="15" customFormat="1" ht="26.25" customHeight="1" x14ac:dyDescent="0.2">
      <c r="A7" s="43" t="s">
        <v>22</v>
      </c>
      <c r="B7" s="46" t="s">
        <v>40</v>
      </c>
      <c r="C7" s="44" t="s">
        <v>53</v>
      </c>
      <c r="D7" s="47" t="s">
        <v>64</v>
      </c>
      <c r="E7" s="46" t="s">
        <v>71</v>
      </c>
      <c r="F7" s="49">
        <v>10000</v>
      </c>
      <c r="G7" s="40">
        <v>20000</v>
      </c>
      <c r="H7" s="35">
        <f>20000+10000</f>
        <v>30000</v>
      </c>
      <c r="I7" s="49">
        <f t="shared" si="0"/>
        <v>50000</v>
      </c>
      <c r="J7" s="51">
        <f t="shared" si="1"/>
        <v>1.5</v>
      </c>
      <c r="K7" s="48" t="s">
        <v>83</v>
      </c>
      <c r="L7" s="48" t="s">
        <v>83</v>
      </c>
      <c r="M7" s="38">
        <v>41455</v>
      </c>
      <c r="N7" s="48" t="s">
        <v>86</v>
      </c>
      <c r="O7" s="41">
        <v>10000</v>
      </c>
      <c r="P7" s="54"/>
      <c r="Q7" s="41"/>
      <c r="R7" s="41"/>
      <c r="S7" s="41"/>
    </row>
    <row r="8" spans="1:19" s="15" customFormat="1" ht="26.25" customHeight="1" x14ac:dyDescent="0.2">
      <c r="A8" s="43" t="s">
        <v>23</v>
      </c>
      <c r="B8" s="46" t="s">
        <v>41</v>
      </c>
      <c r="C8" s="44" t="s">
        <v>54</v>
      </c>
      <c r="D8" s="34">
        <v>6337</v>
      </c>
      <c r="E8" s="46" t="s">
        <v>72</v>
      </c>
      <c r="F8" s="35">
        <v>18529</v>
      </c>
      <c r="G8" s="40">
        <v>18529</v>
      </c>
      <c r="H8" s="35">
        <v>0</v>
      </c>
      <c r="I8" s="49">
        <f t="shared" si="0"/>
        <v>18529</v>
      </c>
      <c r="J8" s="51">
        <f t="shared" si="1"/>
        <v>0</v>
      </c>
      <c r="K8" s="48" t="s">
        <v>83</v>
      </c>
      <c r="L8" s="48" t="s">
        <v>85</v>
      </c>
      <c r="M8" s="38">
        <v>41455</v>
      </c>
      <c r="N8" s="37"/>
      <c r="O8" s="41">
        <v>18529</v>
      </c>
      <c r="P8" s="41"/>
      <c r="Q8" s="41"/>
      <c r="R8" s="41"/>
      <c r="S8" s="41"/>
    </row>
    <row r="9" spans="1:19" s="15" customFormat="1" ht="26.25" customHeight="1" x14ac:dyDescent="0.2">
      <c r="A9" s="43" t="s">
        <v>24</v>
      </c>
      <c r="B9" s="46" t="s">
        <v>42</v>
      </c>
      <c r="C9" s="44" t="s">
        <v>55</v>
      </c>
      <c r="D9" s="34">
        <v>6362</v>
      </c>
      <c r="E9" s="46" t="s">
        <v>73</v>
      </c>
      <c r="F9" s="35">
        <v>33600</v>
      </c>
      <c r="G9" s="40">
        <v>33600</v>
      </c>
      <c r="H9" s="35">
        <v>0</v>
      </c>
      <c r="I9" s="49">
        <f t="shared" si="0"/>
        <v>33600</v>
      </c>
      <c r="J9" s="51">
        <f t="shared" si="1"/>
        <v>0</v>
      </c>
      <c r="K9" s="48" t="s">
        <v>83</v>
      </c>
      <c r="L9" s="48" t="s">
        <v>83</v>
      </c>
      <c r="M9" s="38">
        <v>41639</v>
      </c>
      <c r="N9" s="48"/>
      <c r="O9" s="41">
        <v>33600</v>
      </c>
      <c r="P9" s="41"/>
      <c r="Q9" s="41"/>
      <c r="R9" s="41"/>
      <c r="S9" s="41"/>
    </row>
    <row r="10" spans="1:19" s="15" customFormat="1" ht="26.25" customHeight="1" x14ac:dyDescent="0.2">
      <c r="A10" s="43" t="s">
        <v>25</v>
      </c>
      <c r="B10" s="46" t="s">
        <v>38</v>
      </c>
      <c r="C10" s="44" t="s">
        <v>56</v>
      </c>
      <c r="D10" s="47">
        <v>6368</v>
      </c>
      <c r="E10" s="46" t="s">
        <v>76</v>
      </c>
      <c r="F10" s="35">
        <v>20000</v>
      </c>
      <c r="G10" s="40">
        <v>20000</v>
      </c>
      <c r="H10" s="35">
        <v>0</v>
      </c>
      <c r="I10" s="49">
        <f t="shared" si="0"/>
        <v>20000</v>
      </c>
      <c r="J10" s="51">
        <f t="shared" si="1"/>
        <v>0</v>
      </c>
      <c r="K10" s="48" t="s">
        <v>83</v>
      </c>
      <c r="L10" s="48" t="s">
        <v>83</v>
      </c>
      <c r="M10" s="38">
        <v>41547</v>
      </c>
      <c r="N10" s="48"/>
      <c r="O10" s="41">
        <v>20000</v>
      </c>
      <c r="P10" s="41"/>
      <c r="Q10" s="41"/>
      <c r="R10" s="41"/>
      <c r="S10" s="41"/>
    </row>
    <row r="11" spans="1:19" s="15" customFormat="1" ht="26.25" customHeight="1" x14ac:dyDescent="0.2">
      <c r="A11" s="43" t="s">
        <v>26</v>
      </c>
      <c r="B11" s="46" t="s">
        <v>43</v>
      </c>
      <c r="C11" s="44" t="s">
        <v>57</v>
      </c>
      <c r="D11" s="47">
        <v>6421</v>
      </c>
      <c r="E11" s="46" t="s">
        <v>74</v>
      </c>
      <c r="F11" s="35">
        <f>24000*2</f>
        <v>48000</v>
      </c>
      <c r="G11" s="40">
        <f>24000*2</f>
        <v>48000</v>
      </c>
      <c r="H11" s="35">
        <v>0</v>
      </c>
      <c r="I11" s="49">
        <f t="shared" si="0"/>
        <v>48000</v>
      </c>
      <c r="J11" s="51">
        <f t="shared" si="1"/>
        <v>0</v>
      </c>
      <c r="K11" s="48" t="s">
        <v>83</v>
      </c>
      <c r="L11" s="48" t="s">
        <v>83</v>
      </c>
      <c r="M11" s="38">
        <v>41820</v>
      </c>
      <c r="N11" s="48" t="s">
        <v>84</v>
      </c>
      <c r="O11" s="41">
        <v>24000</v>
      </c>
      <c r="P11" s="41">
        <v>24000</v>
      </c>
      <c r="Q11" s="41"/>
      <c r="R11" s="41"/>
      <c r="S11" s="41"/>
    </row>
    <row r="12" spans="1:19" s="15" customFormat="1" ht="26.25" customHeight="1" x14ac:dyDescent="0.2">
      <c r="A12" s="43" t="s">
        <v>27</v>
      </c>
      <c r="B12" s="46" t="s">
        <v>44</v>
      </c>
      <c r="C12" s="44" t="s">
        <v>58</v>
      </c>
      <c r="D12" s="47">
        <v>6470</v>
      </c>
      <c r="E12" s="46" t="s">
        <v>75</v>
      </c>
      <c r="F12" s="35">
        <f>25000*3</f>
        <v>75000</v>
      </c>
      <c r="G12" s="40">
        <f>25000*3</f>
        <v>75000</v>
      </c>
      <c r="H12" s="35">
        <v>0</v>
      </c>
      <c r="I12" s="49">
        <f t="shared" si="0"/>
        <v>75000</v>
      </c>
      <c r="J12" s="51">
        <f t="shared" si="1"/>
        <v>0</v>
      </c>
      <c r="K12" s="48" t="s">
        <v>83</v>
      </c>
      <c r="L12" s="48" t="s">
        <v>83</v>
      </c>
      <c r="M12" s="38">
        <v>41820</v>
      </c>
      <c r="N12" s="48" t="s">
        <v>84</v>
      </c>
      <c r="O12" s="41">
        <v>25000</v>
      </c>
      <c r="P12" s="41">
        <v>25000</v>
      </c>
      <c r="Q12" s="41">
        <v>25000</v>
      </c>
      <c r="R12" s="41"/>
      <c r="S12" s="41"/>
    </row>
    <row r="13" spans="1:19" s="15" customFormat="1" ht="18" customHeight="1" x14ac:dyDescent="0.2">
      <c r="A13" s="43" t="s">
        <v>29</v>
      </c>
      <c r="B13" s="46" t="s">
        <v>44</v>
      </c>
      <c r="C13" s="44" t="s">
        <v>59</v>
      </c>
      <c r="D13" s="47">
        <v>6494</v>
      </c>
      <c r="E13" s="46" t="s">
        <v>77</v>
      </c>
      <c r="F13" s="35">
        <f>10000*3</f>
        <v>30000</v>
      </c>
      <c r="G13" s="40">
        <f>10000*3</f>
        <v>30000</v>
      </c>
      <c r="H13" s="35">
        <v>0</v>
      </c>
      <c r="I13" s="49">
        <f t="shared" si="0"/>
        <v>30000</v>
      </c>
      <c r="J13" s="51">
        <f t="shared" si="1"/>
        <v>0</v>
      </c>
      <c r="K13" s="48" t="s">
        <v>83</v>
      </c>
      <c r="L13" s="48" t="s">
        <v>85</v>
      </c>
      <c r="M13" s="38">
        <v>41820</v>
      </c>
      <c r="N13" s="48" t="s">
        <v>84</v>
      </c>
      <c r="O13" s="41">
        <v>10000</v>
      </c>
      <c r="P13" s="41">
        <v>10000</v>
      </c>
      <c r="Q13" s="41">
        <v>10000</v>
      </c>
      <c r="R13" s="41"/>
      <c r="S13" s="41"/>
    </row>
    <row r="14" spans="1:19" s="15" customFormat="1" ht="26.25" customHeight="1" x14ac:dyDescent="0.2">
      <c r="A14" s="43" t="s">
        <v>30</v>
      </c>
      <c r="B14" s="46" t="s">
        <v>45</v>
      </c>
      <c r="C14" s="44" t="s">
        <v>60</v>
      </c>
      <c r="D14" s="47">
        <v>6513</v>
      </c>
      <c r="E14" s="46" t="s">
        <v>78</v>
      </c>
      <c r="F14" s="35">
        <v>39000</v>
      </c>
      <c r="G14" s="40">
        <v>46800</v>
      </c>
      <c r="H14" s="35">
        <v>39000</v>
      </c>
      <c r="I14" s="49">
        <f t="shared" si="0"/>
        <v>85800</v>
      </c>
      <c r="J14" s="51">
        <f t="shared" si="1"/>
        <v>0.83333333333333337</v>
      </c>
      <c r="K14" s="48" t="s">
        <v>83</v>
      </c>
      <c r="L14" s="48" t="s">
        <v>83</v>
      </c>
      <c r="M14" s="38">
        <v>41638</v>
      </c>
      <c r="N14" s="48" t="s">
        <v>86</v>
      </c>
      <c r="O14" s="41">
        <v>39000</v>
      </c>
      <c r="P14" s="41"/>
      <c r="Q14" s="41"/>
      <c r="R14" s="41"/>
      <c r="S14" s="41"/>
    </row>
    <row r="15" spans="1:19" s="15" customFormat="1" ht="26.25" customHeight="1" x14ac:dyDescent="0.2">
      <c r="A15" s="43" t="s">
        <v>31</v>
      </c>
      <c r="B15" s="46" t="s">
        <v>45</v>
      </c>
      <c r="C15" s="44" t="s">
        <v>61</v>
      </c>
      <c r="D15" s="47">
        <v>6518</v>
      </c>
      <c r="E15" s="46" t="s">
        <v>79</v>
      </c>
      <c r="F15" s="35">
        <v>49980</v>
      </c>
      <c r="G15" s="40">
        <v>49980</v>
      </c>
      <c r="H15" s="35">
        <v>49980</v>
      </c>
      <c r="I15" s="49">
        <f t="shared" si="0"/>
        <v>99960</v>
      </c>
      <c r="J15" s="51">
        <f t="shared" si="1"/>
        <v>1</v>
      </c>
      <c r="K15" s="48" t="s">
        <v>83</v>
      </c>
      <c r="L15" s="48" t="s">
        <v>83</v>
      </c>
      <c r="M15" s="38">
        <v>41820</v>
      </c>
      <c r="N15" s="48" t="s">
        <v>86</v>
      </c>
      <c r="O15" s="41">
        <v>49980</v>
      </c>
      <c r="P15" s="41"/>
      <c r="Q15" s="41"/>
      <c r="R15" s="41"/>
      <c r="S15" s="41"/>
    </row>
    <row r="16" spans="1:19" s="15" customFormat="1" ht="26.25" customHeight="1" x14ac:dyDescent="0.2">
      <c r="A16" s="43" t="s">
        <v>32</v>
      </c>
      <c r="B16" s="46" t="s">
        <v>39</v>
      </c>
      <c r="C16" s="44" t="s">
        <v>62</v>
      </c>
      <c r="D16" s="47">
        <v>6545</v>
      </c>
      <c r="E16" s="46" t="s">
        <v>80</v>
      </c>
      <c r="F16" s="35">
        <f>12919*3</f>
        <v>38757</v>
      </c>
      <c r="G16" s="40">
        <f>12919*3</f>
        <v>38757</v>
      </c>
      <c r="H16" s="35">
        <v>0</v>
      </c>
      <c r="I16" s="49">
        <f t="shared" si="0"/>
        <v>38757</v>
      </c>
      <c r="J16" s="51">
        <f t="shared" si="1"/>
        <v>0</v>
      </c>
      <c r="K16" s="48" t="s">
        <v>83</v>
      </c>
      <c r="L16" s="48" t="s">
        <v>85</v>
      </c>
      <c r="M16" s="38">
        <v>41820</v>
      </c>
      <c r="N16" s="48" t="s">
        <v>84</v>
      </c>
      <c r="O16" s="41">
        <v>12919</v>
      </c>
      <c r="P16" s="41">
        <v>12919</v>
      </c>
      <c r="Q16" s="41">
        <v>12919</v>
      </c>
      <c r="R16" s="41"/>
      <c r="S16" s="41"/>
    </row>
    <row r="17" spans="1:19" s="15" customFormat="1" ht="26.25" customHeight="1" x14ac:dyDescent="0.2">
      <c r="A17" s="43" t="s">
        <v>33</v>
      </c>
      <c r="B17" s="46" t="s">
        <v>46</v>
      </c>
      <c r="C17" s="44" t="s">
        <v>410</v>
      </c>
      <c r="D17" s="47">
        <v>6812</v>
      </c>
      <c r="E17" s="46" t="s">
        <v>81</v>
      </c>
      <c r="F17" s="35">
        <f>40000*3</f>
        <v>120000</v>
      </c>
      <c r="G17" s="40">
        <f>40000*3</f>
        <v>120000</v>
      </c>
      <c r="H17" s="35">
        <v>0</v>
      </c>
      <c r="I17" s="49">
        <f t="shared" si="0"/>
        <v>120000</v>
      </c>
      <c r="J17" s="51">
        <f t="shared" si="1"/>
        <v>0</v>
      </c>
      <c r="K17" s="48" t="s">
        <v>83</v>
      </c>
      <c r="L17" s="48" t="s">
        <v>85</v>
      </c>
      <c r="M17" s="38">
        <v>41821</v>
      </c>
      <c r="N17" s="48" t="s">
        <v>84</v>
      </c>
      <c r="O17" s="41">
        <v>40000</v>
      </c>
      <c r="P17" s="41">
        <v>40000</v>
      </c>
      <c r="Q17" s="41">
        <v>40000</v>
      </c>
      <c r="R17" s="41"/>
      <c r="S17" s="41"/>
    </row>
    <row r="18" spans="1:19" s="15" customFormat="1" ht="38.25" customHeight="1" x14ac:dyDescent="0.2">
      <c r="A18" s="43" t="s">
        <v>34</v>
      </c>
      <c r="B18" s="46" t="s">
        <v>47</v>
      </c>
      <c r="C18" s="44" t="s">
        <v>63</v>
      </c>
      <c r="D18" s="47" t="s">
        <v>65</v>
      </c>
      <c r="E18" s="46" t="s">
        <v>82</v>
      </c>
      <c r="F18" s="35">
        <v>49000</v>
      </c>
      <c r="G18" s="40">
        <v>49000</v>
      </c>
      <c r="H18" s="35">
        <v>0</v>
      </c>
      <c r="I18" s="49">
        <f t="shared" si="0"/>
        <v>49000</v>
      </c>
      <c r="J18" s="51">
        <f t="shared" si="1"/>
        <v>0</v>
      </c>
      <c r="K18" s="48" t="s">
        <v>83</v>
      </c>
      <c r="L18" s="48" t="s">
        <v>83</v>
      </c>
      <c r="M18" s="38">
        <v>41820</v>
      </c>
      <c r="N18" s="48"/>
      <c r="O18" s="41">
        <v>49000</v>
      </c>
      <c r="P18" s="41"/>
      <c r="Q18" s="41"/>
      <c r="R18" s="41"/>
      <c r="S18" s="41"/>
    </row>
    <row r="19" spans="1:19" s="15" customFormat="1" ht="26.25" customHeight="1" x14ac:dyDescent="0.2">
      <c r="A19" s="43" t="s">
        <v>87</v>
      </c>
      <c r="B19" s="46" t="s">
        <v>94</v>
      </c>
      <c r="C19" s="44" t="s">
        <v>96</v>
      </c>
      <c r="D19" s="47" t="s">
        <v>102</v>
      </c>
      <c r="E19" s="46" t="s">
        <v>108</v>
      </c>
      <c r="F19" s="35">
        <f>20000+20000</f>
        <v>40000</v>
      </c>
      <c r="G19" s="40">
        <v>15000</v>
      </c>
      <c r="H19" s="35">
        <f>20000*2</f>
        <v>40000</v>
      </c>
      <c r="I19" s="49">
        <f t="shared" ref="I19:I25" si="2">G19+H19</f>
        <v>55000</v>
      </c>
      <c r="J19" s="51">
        <f t="shared" ref="J19:J25" si="3">IF(G19=0,100%,(I19-G19)/G19)</f>
        <v>2.6666666666666665</v>
      </c>
      <c r="K19" s="48" t="s">
        <v>83</v>
      </c>
      <c r="L19" s="48" t="s">
        <v>83</v>
      </c>
      <c r="M19" s="38">
        <v>41820</v>
      </c>
      <c r="N19" s="48" t="s">
        <v>84</v>
      </c>
      <c r="O19" s="41">
        <v>20000</v>
      </c>
      <c r="P19" s="41">
        <v>20000</v>
      </c>
      <c r="Q19" s="41"/>
      <c r="R19" s="41"/>
      <c r="S19" s="41"/>
    </row>
    <row r="20" spans="1:19" s="15" customFormat="1" ht="26.25" customHeight="1" x14ac:dyDescent="0.2">
      <c r="A20" s="43" t="s">
        <v>88</v>
      </c>
      <c r="B20" s="46" t="s">
        <v>94</v>
      </c>
      <c r="C20" s="44" t="s">
        <v>97</v>
      </c>
      <c r="D20" s="47" t="s">
        <v>103</v>
      </c>
      <c r="E20" s="46" t="s">
        <v>109</v>
      </c>
      <c r="F20" s="35">
        <f>10000*2</f>
        <v>20000</v>
      </c>
      <c r="G20" s="40">
        <v>15000</v>
      </c>
      <c r="H20" s="35">
        <f>10000*2</f>
        <v>20000</v>
      </c>
      <c r="I20" s="49">
        <f t="shared" si="2"/>
        <v>35000</v>
      </c>
      <c r="J20" s="51">
        <f t="shared" si="3"/>
        <v>1.3333333333333333</v>
      </c>
      <c r="K20" s="48" t="s">
        <v>83</v>
      </c>
      <c r="L20" s="48" t="s">
        <v>83</v>
      </c>
      <c r="M20" s="38">
        <v>41820</v>
      </c>
      <c r="N20" s="48" t="s">
        <v>84</v>
      </c>
      <c r="O20" s="41">
        <v>10000</v>
      </c>
      <c r="P20" s="41">
        <v>10000</v>
      </c>
      <c r="Q20" s="41"/>
      <c r="R20" s="41"/>
      <c r="S20" s="41"/>
    </row>
    <row r="21" spans="1:19" s="15" customFormat="1" ht="26.25" customHeight="1" x14ac:dyDescent="0.2">
      <c r="A21" s="43" t="s">
        <v>89</v>
      </c>
      <c r="B21" s="46" t="s">
        <v>94</v>
      </c>
      <c r="C21" s="44" t="s">
        <v>98</v>
      </c>
      <c r="D21" s="47" t="s">
        <v>104</v>
      </c>
      <c r="E21" s="46" t="s">
        <v>110</v>
      </c>
      <c r="F21" s="35">
        <f>8000*2</f>
        <v>16000</v>
      </c>
      <c r="G21" s="40">
        <v>5500</v>
      </c>
      <c r="H21" s="35">
        <f>8000*2</f>
        <v>16000</v>
      </c>
      <c r="I21" s="49">
        <f t="shared" si="2"/>
        <v>21500</v>
      </c>
      <c r="J21" s="51">
        <f t="shared" si="3"/>
        <v>2.9090909090909092</v>
      </c>
      <c r="K21" s="48" t="s">
        <v>83</v>
      </c>
      <c r="L21" s="48" t="s">
        <v>83</v>
      </c>
      <c r="M21" s="38">
        <v>41820</v>
      </c>
      <c r="N21" s="48" t="s">
        <v>84</v>
      </c>
      <c r="O21" s="41">
        <v>8000</v>
      </c>
      <c r="P21" s="41">
        <v>8000</v>
      </c>
      <c r="Q21" s="41"/>
      <c r="R21" s="41"/>
      <c r="S21" s="41"/>
    </row>
    <row r="22" spans="1:19" s="15" customFormat="1" ht="26.25" customHeight="1" x14ac:dyDescent="0.2">
      <c r="A22" s="43" t="s">
        <v>90</v>
      </c>
      <c r="B22" s="46" t="s">
        <v>94</v>
      </c>
      <c r="C22" s="44" t="s">
        <v>99</v>
      </c>
      <c r="D22" s="47" t="s">
        <v>105</v>
      </c>
      <c r="E22" s="46" t="s">
        <v>111</v>
      </c>
      <c r="F22" s="35">
        <f>12000*2</f>
        <v>24000</v>
      </c>
      <c r="G22" s="40">
        <v>7500</v>
      </c>
      <c r="H22" s="35">
        <f>12000*2</f>
        <v>24000</v>
      </c>
      <c r="I22" s="49">
        <f t="shared" si="2"/>
        <v>31500</v>
      </c>
      <c r="J22" s="51">
        <f t="shared" si="3"/>
        <v>3.2</v>
      </c>
      <c r="K22" s="48" t="s">
        <v>83</v>
      </c>
      <c r="L22" s="48" t="s">
        <v>83</v>
      </c>
      <c r="M22" s="38">
        <v>41820</v>
      </c>
      <c r="N22" s="48" t="s">
        <v>84</v>
      </c>
      <c r="O22" s="41">
        <v>12000</v>
      </c>
      <c r="P22" s="41">
        <v>12000</v>
      </c>
      <c r="Q22" s="41"/>
      <c r="R22" s="41"/>
      <c r="S22" s="41"/>
    </row>
    <row r="23" spans="1:19" s="15" customFormat="1" ht="26.25" customHeight="1" x14ac:dyDescent="0.2">
      <c r="A23" s="43" t="s">
        <v>91</v>
      </c>
      <c r="B23" s="46" t="s">
        <v>37</v>
      </c>
      <c r="C23" s="44" t="s">
        <v>50</v>
      </c>
      <c r="D23" s="47" t="s">
        <v>106</v>
      </c>
      <c r="E23" s="46" t="s">
        <v>112</v>
      </c>
      <c r="F23" s="49">
        <v>16640</v>
      </c>
      <c r="G23" s="50">
        <v>18000</v>
      </c>
      <c r="H23" s="49">
        <v>16640</v>
      </c>
      <c r="I23" s="49">
        <f t="shared" si="2"/>
        <v>34640</v>
      </c>
      <c r="J23" s="51">
        <f t="shared" si="3"/>
        <v>0.9244444444444444</v>
      </c>
      <c r="K23" s="48" t="s">
        <v>83</v>
      </c>
      <c r="L23" s="48" t="s">
        <v>83</v>
      </c>
      <c r="M23" s="52">
        <v>41455</v>
      </c>
      <c r="N23" s="48" t="s">
        <v>86</v>
      </c>
      <c r="O23" s="41">
        <v>16640</v>
      </c>
      <c r="P23" s="41"/>
      <c r="Q23" s="41"/>
      <c r="R23" s="41"/>
      <c r="S23" s="41"/>
    </row>
    <row r="24" spans="1:19" s="15" customFormat="1" ht="26.25" customHeight="1" x14ac:dyDescent="0.2">
      <c r="A24" s="43" t="s">
        <v>92</v>
      </c>
      <c r="B24" s="46" t="s">
        <v>95</v>
      </c>
      <c r="C24" s="44" t="s">
        <v>100</v>
      </c>
      <c r="D24" s="47" t="s">
        <v>107</v>
      </c>
      <c r="E24" s="46" t="s">
        <v>113</v>
      </c>
      <c r="F24" s="49">
        <v>27789</v>
      </c>
      <c r="G24" s="50">
        <v>24043</v>
      </c>
      <c r="H24" s="49">
        <v>27789</v>
      </c>
      <c r="I24" s="49">
        <f t="shared" si="2"/>
        <v>51832</v>
      </c>
      <c r="J24" s="51">
        <f t="shared" si="3"/>
        <v>1.1558041841700286</v>
      </c>
      <c r="K24" s="48" t="s">
        <v>83</v>
      </c>
      <c r="L24" s="48" t="s">
        <v>83</v>
      </c>
      <c r="M24" s="52">
        <v>42694</v>
      </c>
      <c r="N24" s="48" t="s">
        <v>86</v>
      </c>
      <c r="O24" s="41">
        <v>27789</v>
      </c>
      <c r="P24" s="41"/>
      <c r="Q24" s="41"/>
      <c r="R24" s="41"/>
      <c r="S24" s="41"/>
    </row>
    <row r="25" spans="1:19" s="15" customFormat="1" ht="26.25" customHeight="1" x14ac:dyDescent="0.2">
      <c r="A25" s="43" t="s">
        <v>93</v>
      </c>
      <c r="B25" s="46" t="s">
        <v>41</v>
      </c>
      <c r="C25" s="44" t="s">
        <v>101</v>
      </c>
      <c r="D25" s="47">
        <v>6800</v>
      </c>
      <c r="E25" s="46" t="s">
        <v>114</v>
      </c>
      <c r="F25" s="49">
        <f>12500*3</f>
        <v>37500</v>
      </c>
      <c r="G25" s="50">
        <f>12500*3</f>
        <v>37500</v>
      </c>
      <c r="H25" s="49">
        <v>0</v>
      </c>
      <c r="I25" s="49">
        <f t="shared" si="2"/>
        <v>37500</v>
      </c>
      <c r="J25" s="51">
        <f t="shared" si="3"/>
        <v>0</v>
      </c>
      <c r="K25" s="48" t="s">
        <v>83</v>
      </c>
      <c r="L25" s="48" t="s">
        <v>83</v>
      </c>
      <c r="M25" s="52">
        <v>41843</v>
      </c>
      <c r="N25" s="48" t="s">
        <v>84</v>
      </c>
      <c r="O25" s="41">
        <v>12500</v>
      </c>
      <c r="P25" s="41">
        <v>12500</v>
      </c>
      <c r="Q25" s="41">
        <v>12500</v>
      </c>
      <c r="R25" s="41"/>
      <c r="S25" s="41"/>
    </row>
    <row r="26" spans="1:19" s="15" customFormat="1" ht="26.25" customHeight="1" x14ac:dyDescent="0.2">
      <c r="A26" s="43" t="s">
        <v>115</v>
      </c>
      <c r="B26" s="46" t="s">
        <v>37</v>
      </c>
      <c r="C26" s="44" t="s">
        <v>126</v>
      </c>
      <c r="D26" s="47">
        <v>6271</v>
      </c>
      <c r="E26" s="46" t="s">
        <v>135</v>
      </c>
      <c r="F26" s="49">
        <v>99860</v>
      </c>
      <c r="G26" s="50">
        <v>99860</v>
      </c>
      <c r="H26" s="49">
        <v>0</v>
      </c>
      <c r="I26" s="49">
        <f t="shared" ref="I26:I35" si="4">G26+H26</f>
        <v>99860</v>
      </c>
      <c r="J26" s="51">
        <f t="shared" ref="J26:J35" si="5">IF(G26=0,100%,(I26-G26)/G26)</f>
        <v>0</v>
      </c>
      <c r="K26" s="48" t="s">
        <v>83</v>
      </c>
      <c r="L26" s="48" t="s">
        <v>83</v>
      </c>
      <c r="M26" s="52">
        <v>41820</v>
      </c>
      <c r="N26" s="48"/>
      <c r="O26" s="41">
        <v>99860</v>
      </c>
      <c r="P26" s="41"/>
      <c r="Q26" s="41"/>
      <c r="R26" s="41"/>
      <c r="S26" s="41"/>
    </row>
    <row r="27" spans="1:19" s="15" customFormat="1" ht="26.25" customHeight="1" x14ac:dyDescent="0.2">
      <c r="A27" s="43" t="s">
        <v>116</v>
      </c>
      <c r="B27" s="46" t="s">
        <v>42</v>
      </c>
      <c r="C27" s="44" t="s">
        <v>127</v>
      </c>
      <c r="D27" s="47">
        <v>6389</v>
      </c>
      <c r="E27" s="46" t="s">
        <v>136</v>
      </c>
      <c r="F27" s="49">
        <v>55000</v>
      </c>
      <c r="G27" s="50">
        <v>55000</v>
      </c>
      <c r="H27" s="49">
        <v>0</v>
      </c>
      <c r="I27" s="49">
        <f t="shared" si="4"/>
        <v>55000</v>
      </c>
      <c r="J27" s="51">
        <f t="shared" si="5"/>
        <v>0</v>
      </c>
      <c r="K27" s="48" t="s">
        <v>83</v>
      </c>
      <c r="L27" s="48" t="s">
        <v>83</v>
      </c>
      <c r="M27" s="52">
        <v>41820</v>
      </c>
      <c r="N27" s="48"/>
      <c r="O27" s="41">
        <v>55000</v>
      </c>
      <c r="P27" s="41"/>
      <c r="Q27" s="41"/>
      <c r="R27" s="41"/>
      <c r="S27" s="41"/>
    </row>
    <row r="28" spans="1:19" s="15" customFormat="1" ht="26.25" customHeight="1" x14ac:dyDescent="0.2">
      <c r="A28" s="43" t="s">
        <v>117</v>
      </c>
      <c r="B28" s="46" t="s">
        <v>43</v>
      </c>
      <c r="C28" s="44" t="s">
        <v>128</v>
      </c>
      <c r="D28" s="34">
        <v>6418</v>
      </c>
      <c r="E28" s="46" t="s">
        <v>137</v>
      </c>
      <c r="F28" s="35">
        <f>60000*2</f>
        <v>120000</v>
      </c>
      <c r="G28" s="40">
        <f>60000*2</f>
        <v>120000</v>
      </c>
      <c r="H28" s="35">
        <v>0</v>
      </c>
      <c r="I28" s="49">
        <f t="shared" si="4"/>
        <v>120000</v>
      </c>
      <c r="J28" s="51">
        <f t="shared" si="5"/>
        <v>0</v>
      </c>
      <c r="K28" s="48" t="s">
        <v>83</v>
      </c>
      <c r="L28" s="48" t="s">
        <v>83</v>
      </c>
      <c r="M28" s="38">
        <v>41820</v>
      </c>
      <c r="N28" s="48" t="s">
        <v>84</v>
      </c>
      <c r="O28" s="41">
        <v>60000</v>
      </c>
      <c r="P28" s="41">
        <v>60000</v>
      </c>
      <c r="Q28" s="41"/>
      <c r="R28" s="41"/>
      <c r="S28" s="41"/>
    </row>
    <row r="29" spans="1:19" s="15" customFormat="1" ht="26.25" customHeight="1" x14ac:dyDescent="0.2">
      <c r="A29" s="43" t="s">
        <v>118</v>
      </c>
      <c r="B29" s="46" t="s">
        <v>43</v>
      </c>
      <c r="C29" s="44" t="s">
        <v>129</v>
      </c>
      <c r="D29" s="34">
        <v>6420</v>
      </c>
      <c r="E29" s="46" t="s">
        <v>138</v>
      </c>
      <c r="F29" s="35">
        <f>60000*2</f>
        <v>120000</v>
      </c>
      <c r="G29" s="40">
        <f>60000*2</f>
        <v>120000</v>
      </c>
      <c r="H29" s="35">
        <v>0</v>
      </c>
      <c r="I29" s="49">
        <f t="shared" si="4"/>
        <v>120000</v>
      </c>
      <c r="J29" s="51">
        <f t="shared" si="5"/>
        <v>0</v>
      </c>
      <c r="K29" s="48" t="s">
        <v>83</v>
      </c>
      <c r="L29" s="48" t="s">
        <v>83</v>
      </c>
      <c r="M29" s="38">
        <v>41820</v>
      </c>
      <c r="N29" s="48" t="s">
        <v>84</v>
      </c>
      <c r="O29" s="41">
        <v>60000</v>
      </c>
      <c r="P29" s="41">
        <v>60000</v>
      </c>
      <c r="Q29" s="41"/>
      <c r="R29" s="41"/>
      <c r="S29" s="41"/>
    </row>
    <row r="30" spans="1:19" s="15" customFormat="1" ht="26.25" customHeight="1" x14ac:dyDescent="0.2">
      <c r="A30" s="43" t="s">
        <v>119</v>
      </c>
      <c r="B30" s="46" t="s">
        <v>124</v>
      </c>
      <c r="C30" s="44" t="s">
        <v>130</v>
      </c>
      <c r="D30" s="47">
        <v>6581</v>
      </c>
      <c r="E30" s="46" t="s">
        <v>139</v>
      </c>
      <c r="F30" s="35">
        <v>95000</v>
      </c>
      <c r="G30" s="40">
        <v>95000</v>
      </c>
      <c r="H30" s="35">
        <v>0</v>
      </c>
      <c r="I30" s="49">
        <f t="shared" si="4"/>
        <v>95000</v>
      </c>
      <c r="J30" s="51">
        <f t="shared" si="5"/>
        <v>0</v>
      </c>
      <c r="K30" s="48" t="s">
        <v>85</v>
      </c>
      <c r="L30" s="48" t="s">
        <v>85</v>
      </c>
      <c r="M30" s="52">
        <v>41820</v>
      </c>
      <c r="N30" s="48"/>
      <c r="O30" s="41">
        <v>95000</v>
      </c>
      <c r="P30" s="41"/>
      <c r="Q30" s="41"/>
      <c r="R30" s="41"/>
      <c r="S30" s="41"/>
    </row>
    <row r="31" spans="1:19" s="15" customFormat="1" ht="26.25" customHeight="1" x14ac:dyDescent="0.2">
      <c r="A31" s="43" t="s">
        <v>120</v>
      </c>
      <c r="B31" s="46" t="s">
        <v>124</v>
      </c>
      <c r="C31" s="44" t="s">
        <v>131</v>
      </c>
      <c r="D31" s="47">
        <v>6583</v>
      </c>
      <c r="E31" s="46" t="s">
        <v>139</v>
      </c>
      <c r="F31" s="35">
        <v>95000</v>
      </c>
      <c r="G31" s="40">
        <v>95000</v>
      </c>
      <c r="H31" s="35">
        <v>0</v>
      </c>
      <c r="I31" s="49">
        <f t="shared" si="4"/>
        <v>95000</v>
      </c>
      <c r="J31" s="51">
        <f t="shared" si="5"/>
        <v>0</v>
      </c>
      <c r="K31" s="48" t="s">
        <v>85</v>
      </c>
      <c r="L31" s="48" t="s">
        <v>85</v>
      </c>
      <c r="M31" s="38">
        <v>41820</v>
      </c>
      <c r="N31" s="48"/>
      <c r="O31" s="41">
        <v>95000</v>
      </c>
      <c r="P31" s="41"/>
      <c r="Q31" s="41"/>
      <c r="R31" s="41"/>
      <c r="S31" s="41"/>
    </row>
    <row r="32" spans="1:19" s="15" customFormat="1" ht="26.25" customHeight="1" x14ac:dyDescent="0.2">
      <c r="A32" s="43" t="s">
        <v>121</v>
      </c>
      <c r="B32" s="46" t="s">
        <v>124</v>
      </c>
      <c r="C32" s="44" t="s">
        <v>132</v>
      </c>
      <c r="D32" s="47">
        <v>6582</v>
      </c>
      <c r="E32" s="46" t="s">
        <v>139</v>
      </c>
      <c r="F32" s="35">
        <v>95000</v>
      </c>
      <c r="G32" s="40">
        <v>95000</v>
      </c>
      <c r="H32" s="35">
        <v>0</v>
      </c>
      <c r="I32" s="49">
        <f t="shared" si="4"/>
        <v>95000</v>
      </c>
      <c r="J32" s="51">
        <f t="shared" si="5"/>
        <v>0</v>
      </c>
      <c r="K32" s="48" t="s">
        <v>85</v>
      </c>
      <c r="L32" s="48" t="s">
        <v>85</v>
      </c>
      <c r="M32" s="38">
        <v>41820</v>
      </c>
      <c r="N32" s="48"/>
      <c r="O32" s="41">
        <v>95000</v>
      </c>
      <c r="P32" s="41"/>
      <c r="Q32" s="41"/>
      <c r="R32" s="41"/>
      <c r="S32" s="41"/>
    </row>
    <row r="33" spans="1:19" s="15" customFormat="1" ht="26.25" customHeight="1" x14ac:dyDescent="0.2">
      <c r="A33" s="43" t="s">
        <v>122</v>
      </c>
      <c r="B33" s="46" t="s">
        <v>124</v>
      </c>
      <c r="C33" s="44" t="s">
        <v>133</v>
      </c>
      <c r="D33" s="47">
        <v>6580</v>
      </c>
      <c r="E33" s="46" t="s">
        <v>140</v>
      </c>
      <c r="F33" s="35">
        <v>95000</v>
      </c>
      <c r="G33" s="40">
        <v>95000</v>
      </c>
      <c r="H33" s="35">
        <v>0</v>
      </c>
      <c r="I33" s="49">
        <f t="shared" si="4"/>
        <v>95000</v>
      </c>
      <c r="J33" s="51">
        <f t="shared" si="5"/>
        <v>0</v>
      </c>
      <c r="K33" s="48" t="s">
        <v>85</v>
      </c>
      <c r="L33" s="48" t="s">
        <v>85</v>
      </c>
      <c r="M33" s="38">
        <v>41820</v>
      </c>
      <c r="N33" s="48"/>
      <c r="O33" s="41">
        <v>95000</v>
      </c>
      <c r="P33" s="41"/>
      <c r="Q33" s="41"/>
      <c r="R33" s="41"/>
      <c r="S33" s="41"/>
    </row>
    <row r="34" spans="1:19" s="15" customFormat="1" ht="26.25" customHeight="1" x14ac:dyDescent="0.2">
      <c r="A34" s="43" t="s">
        <v>123</v>
      </c>
      <c r="B34" s="46" t="s">
        <v>125</v>
      </c>
      <c r="C34" s="44" t="s">
        <v>134</v>
      </c>
      <c r="D34" s="34">
        <v>6254</v>
      </c>
      <c r="E34" s="46" t="s">
        <v>141</v>
      </c>
      <c r="F34" s="35">
        <v>54348</v>
      </c>
      <c r="G34" s="40">
        <v>54348</v>
      </c>
      <c r="H34" s="35">
        <v>0</v>
      </c>
      <c r="I34" s="49">
        <f t="shared" si="4"/>
        <v>54348</v>
      </c>
      <c r="J34" s="51">
        <f t="shared" si="5"/>
        <v>0</v>
      </c>
      <c r="K34" s="48" t="s">
        <v>85</v>
      </c>
      <c r="L34" s="48" t="s">
        <v>85</v>
      </c>
      <c r="M34" s="38">
        <v>41820</v>
      </c>
      <c r="N34" s="48"/>
      <c r="O34" s="41">
        <v>54348</v>
      </c>
      <c r="P34" s="41"/>
      <c r="Q34" s="41"/>
      <c r="R34" s="41"/>
      <c r="S34" s="41"/>
    </row>
    <row r="35" spans="1:19" s="15" customFormat="1" ht="26.25" customHeight="1" x14ac:dyDescent="0.2">
      <c r="A35" s="43" t="s">
        <v>142</v>
      </c>
      <c r="B35" s="46" t="s">
        <v>44</v>
      </c>
      <c r="C35" s="44" t="s">
        <v>146</v>
      </c>
      <c r="D35" s="34">
        <v>6876</v>
      </c>
      <c r="E35" s="46" t="s">
        <v>149</v>
      </c>
      <c r="F35" s="35">
        <v>49999</v>
      </c>
      <c r="G35" s="40">
        <v>49999</v>
      </c>
      <c r="H35" s="35">
        <v>0</v>
      </c>
      <c r="I35" s="35">
        <f t="shared" si="4"/>
        <v>49999</v>
      </c>
      <c r="J35" s="36">
        <f t="shared" si="5"/>
        <v>0</v>
      </c>
      <c r="K35" s="48" t="s">
        <v>83</v>
      </c>
      <c r="L35" s="48" t="s">
        <v>85</v>
      </c>
      <c r="M35" s="38">
        <v>41490</v>
      </c>
      <c r="N35" s="37"/>
      <c r="O35" s="41">
        <v>49999</v>
      </c>
      <c r="P35" s="41"/>
      <c r="Q35" s="41"/>
      <c r="R35" s="41"/>
      <c r="S35" s="41"/>
    </row>
    <row r="36" spans="1:19" s="15" customFormat="1" ht="38.25" customHeight="1" x14ac:dyDescent="0.2">
      <c r="A36" s="43" t="s">
        <v>143</v>
      </c>
      <c r="B36" s="46" t="s">
        <v>145</v>
      </c>
      <c r="C36" s="44" t="s">
        <v>147</v>
      </c>
      <c r="D36" s="34">
        <v>6565</v>
      </c>
      <c r="E36" s="46" t="s">
        <v>150</v>
      </c>
      <c r="F36" s="35">
        <f>22000*3</f>
        <v>66000</v>
      </c>
      <c r="G36" s="40">
        <f>22000*3</f>
        <v>66000</v>
      </c>
      <c r="H36" s="35">
        <v>0</v>
      </c>
      <c r="I36" s="35">
        <f t="shared" ref="I36:I42" si="6">G36+H36</f>
        <v>66000</v>
      </c>
      <c r="J36" s="36">
        <f t="shared" ref="J36:J42" si="7">IF(G36=0,100%,(I36-G36)/G36)</f>
        <v>0</v>
      </c>
      <c r="K36" s="48" t="s">
        <v>83</v>
      </c>
      <c r="L36" s="48" t="s">
        <v>83</v>
      </c>
      <c r="M36" s="52" t="s">
        <v>152</v>
      </c>
      <c r="N36" s="48" t="s">
        <v>84</v>
      </c>
      <c r="O36" s="41">
        <v>22000</v>
      </c>
      <c r="P36" s="41">
        <v>22000</v>
      </c>
      <c r="Q36" s="41">
        <v>22000</v>
      </c>
      <c r="R36" s="41"/>
      <c r="S36" s="41"/>
    </row>
    <row r="37" spans="1:19" s="15" customFormat="1" ht="26.25" customHeight="1" x14ac:dyDescent="0.2">
      <c r="A37" s="43" t="s">
        <v>144</v>
      </c>
      <c r="B37" s="46" t="s">
        <v>145</v>
      </c>
      <c r="C37" s="44" t="s">
        <v>148</v>
      </c>
      <c r="D37" s="34">
        <v>6657</v>
      </c>
      <c r="E37" s="46" t="s">
        <v>151</v>
      </c>
      <c r="F37" s="35">
        <v>5500</v>
      </c>
      <c r="G37" s="40">
        <v>30000</v>
      </c>
      <c r="H37" s="35">
        <v>5500</v>
      </c>
      <c r="I37" s="35">
        <f t="shared" si="6"/>
        <v>35500</v>
      </c>
      <c r="J37" s="36">
        <f t="shared" si="7"/>
        <v>0.18333333333333332</v>
      </c>
      <c r="K37" s="48" t="s">
        <v>83</v>
      </c>
      <c r="L37" s="48" t="s">
        <v>83</v>
      </c>
      <c r="M37" s="38">
        <v>41820</v>
      </c>
      <c r="N37" s="48" t="s">
        <v>86</v>
      </c>
      <c r="O37" s="41">
        <v>5500</v>
      </c>
      <c r="P37" s="41"/>
      <c r="Q37" s="41"/>
      <c r="R37" s="41"/>
      <c r="S37" s="41"/>
    </row>
    <row r="38" spans="1:19" s="15" customFormat="1" ht="26.25" customHeight="1" x14ac:dyDescent="0.2">
      <c r="A38" s="43" t="s">
        <v>153</v>
      </c>
      <c r="B38" s="46" t="s">
        <v>46</v>
      </c>
      <c r="C38" s="44" t="s">
        <v>154</v>
      </c>
      <c r="D38" s="47" t="s">
        <v>65</v>
      </c>
      <c r="E38" s="55" t="s">
        <v>155</v>
      </c>
      <c r="F38" s="35">
        <v>24170</v>
      </c>
      <c r="G38" s="40">
        <v>702341</v>
      </c>
      <c r="H38" s="35">
        <f>93800+24170</f>
        <v>117970</v>
      </c>
      <c r="I38" s="35">
        <f t="shared" si="6"/>
        <v>820311</v>
      </c>
      <c r="J38" s="36">
        <f t="shared" si="7"/>
        <v>0.16796684231733588</v>
      </c>
      <c r="K38" s="48" t="s">
        <v>83</v>
      </c>
      <c r="L38" s="48" t="s">
        <v>83</v>
      </c>
      <c r="M38" s="52">
        <v>41554</v>
      </c>
      <c r="N38" s="48" t="s">
        <v>86</v>
      </c>
      <c r="O38" s="41">
        <v>24170</v>
      </c>
      <c r="P38" s="41"/>
      <c r="Q38" s="41"/>
      <c r="R38" s="41"/>
      <c r="S38" s="41"/>
    </row>
    <row r="39" spans="1:19" s="15" customFormat="1" ht="26.25" customHeight="1" x14ac:dyDescent="0.2">
      <c r="A39" s="43" t="s">
        <v>156</v>
      </c>
      <c r="B39" s="46" t="s">
        <v>46</v>
      </c>
      <c r="C39" s="44" t="s">
        <v>160</v>
      </c>
      <c r="D39" s="34">
        <v>6401</v>
      </c>
      <c r="E39" s="46" t="s">
        <v>163</v>
      </c>
      <c r="F39" s="35">
        <f>20000+20000+20000</f>
        <v>60000</v>
      </c>
      <c r="G39" s="40">
        <f>20000+20000+20000</f>
        <v>60000</v>
      </c>
      <c r="H39" s="35">
        <v>0</v>
      </c>
      <c r="I39" s="35">
        <f t="shared" si="6"/>
        <v>60000</v>
      </c>
      <c r="J39" s="36">
        <f t="shared" si="7"/>
        <v>0</v>
      </c>
      <c r="K39" s="48" t="s">
        <v>83</v>
      </c>
      <c r="L39" s="48" t="s">
        <v>83</v>
      </c>
      <c r="M39" s="38">
        <v>41820</v>
      </c>
      <c r="N39" s="48" t="s">
        <v>84</v>
      </c>
      <c r="O39" s="41">
        <v>20000</v>
      </c>
      <c r="P39" s="41">
        <v>20000</v>
      </c>
      <c r="Q39" s="41">
        <v>20000</v>
      </c>
      <c r="R39" s="41"/>
      <c r="S39" s="41"/>
    </row>
    <row r="40" spans="1:19" s="15" customFormat="1" ht="26.25" customHeight="1" x14ac:dyDescent="0.2">
      <c r="A40" s="43" t="s">
        <v>157</v>
      </c>
      <c r="B40" s="46" t="s">
        <v>159</v>
      </c>
      <c r="C40" s="44" t="s">
        <v>161</v>
      </c>
      <c r="D40" s="34">
        <v>6943</v>
      </c>
      <c r="E40" s="46" t="s">
        <v>164</v>
      </c>
      <c r="F40" s="35">
        <v>5400</v>
      </c>
      <c r="G40" s="40">
        <v>5400</v>
      </c>
      <c r="H40" s="35">
        <v>0</v>
      </c>
      <c r="I40" s="35">
        <f t="shared" si="6"/>
        <v>5400</v>
      </c>
      <c r="J40" s="36">
        <f t="shared" si="7"/>
        <v>0</v>
      </c>
      <c r="K40" s="48" t="s">
        <v>83</v>
      </c>
      <c r="L40" s="48" t="s">
        <v>83</v>
      </c>
      <c r="M40" s="38">
        <v>41820</v>
      </c>
      <c r="N40" s="37"/>
      <c r="O40" s="41">
        <v>5400</v>
      </c>
      <c r="P40" s="41"/>
      <c r="Q40" s="41"/>
      <c r="R40" s="41"/>
      <c r="S40" s="41"/>
    </row>
    <row r="41" spans="1:19" s="15" customFormat="1" ht="18" customHeight="1" x14ac:dyDescent="0.2">
      <c r="A41" s="43" t="s">
        <v>158</v>
      </c>
      <c r="B41" s="46" t="s">
        <v>94</v>
      </c>
      <c r="C41" s="44" t="s">
        <v>162</v>
      </c>
      <c r="D41" s="34">
        <v>6544</v>
      </c>
      <c r="E41" s="46" t="s">
        <v>165</v>
      </c>
      <c r="F41" s="35">
        <f>10000+10000+10000</f>
        <v>30000</v>
      </c>
      <c r="G41" s="35">
        <f>10000+10000+10000</f>
        <v>30000</v>
      </c>
      <c r="H41" s="35">
        <v>0</v>
      </c>
      <c r="I41" s="35">
        <f t="shared" si="6"/>
        <v>30000</v>
      </c>
      <c r="J41" s="36">
        <f t="shared" si="7"/>
        <v>0</v>
      </c>
      <c r="K41" s="48" t="s">
        <v>83</v>
      </c>
      <c r="L41" s="48" t="s">
        <v>83</v>
      </c>
      <c r="M41" s="38">
        <v>41820</v>
      </c>
      <c r="N41" s="48" t="s">
        <v>84</v>
      </c>
      <c r="O41" s="41">
        <v>10000</v>
      </c>
      <c r="P41" s="41">
        <v>10000</v>
      </c>
      <c r="Q41" s="41">
        <v>10000</v>
      </c>
      <c r="R41" s="41"/>
      <c r="S41" s="41"/>
    </row>
    <row r="42" spans="1:19" s="15" customFormat="1" ht="26.25" customHeight="1" x14ac:dyDescent="0.2">
      <c r="A42" s="43" t="s">
        <v>166</v>
      </c>
      <c r="B42" s="46" t="s">
        <v>41</v>
      </c>
      <c r="C42" s="44" t="s">
        <v>173</v>
      </c>
      <c r="D42" s="34">
        <v>6567</v>
      </c>
      <c r="E42" s="46" t="s">
        <v>180</v>
      </c>
      <c r="F42" s="40">
        <f>14750*3</f>
        <v>44250</v>
      </c>
      <c r="G42" s="40">
        <f>14750*3</f>
        <v>44250</v>
      </c>
      <c r="H42" s="35">
        <v>0</v>
      </c>
      <c r="I42" s="35">
        <f t="shared" si="6"/>
        <v>44250</v>
      </c>
      <c r="J42" s="36">
        <f t="shared" si="7"/>
        <v>0</v>
      </c>
      <c r="K42" s="48" t="s">
        <v>83</v>
      </c>
      <c r="L42" s="48" t="s">
        <v>83</v>
      </c>
      <c r="M42" s="38">
        <v>41820</v>
      </c>
      <c r="N42" s="48" t="s">
        <v>84</v>
      </c>
      <c r="O42" s="41">
        <v>14750</v>
      </c>
      <c r="P42" s="41">
        <v>14750</v>
      </c>
      <c r="Q42" s="41">
        <v>14750</v>
      </c>
      <c r="R42" s="41"/>
      <c r="S42" s="41"/>
    </row>
    <row r="43" spans="1:19" s="15" customFormat="1" ht="26.25" customHeight="1" x14ac:dyDescent="0.2">
      <c r="A43" s="43" t="s">
        <v>167</v>
      </c>
      <c r="B43" s="46" t="s">
        <v>145</v>
      </c>
      <c r="C43" s="44" t="s">
        <v>174</v>
      </c>
      <c r="D43" s="34">
        <v>6573</v>
      </c>
      <c r="E43" s="46" t="s">
        <v>181</v>
      </c>
      <c r="F43" s="35">
        <f>20000+20000+20000</f>
        <v>60000</v>
      </c>
      <c r="G43" s="35">
        <f>20000+20000+20000</f>
        <v>60000</v>
      </c>
      <c r="H43" s="35">
        <v>0</v>
      </c>
      <c r="I43" s="35">
        <f t="shared" ref="I43:I48" si="8">G43+H43</f>
        <v>60000</v>
      </c>
      <c r="J43" s="36">
        <f t="shared" ref="J43:J48" si="9">IF(G43=0,100%,(I43-G43)/G43)</f>
        <v>0</v>
      </c>
      <c r="K43" s="48" t="s">
        <v>83</v>
      </c>
      <c r="L43" s="48" t="s">
        <v>83</v>
      </c>
      <c r="M43" s="38">
        <v>41820</v>
      </c>
      <c r="N43" s="48" t="s">
        <v>84</v>
      </c>
      <c r="O43" s="41">
        <v>20000</v>
      </c>
      <c r="P43" s="41">
        <v>20000</v>
      </c>
      <c r="Q43" s="41">
        <v>20000</v>
      </c>
      <c r="R43" s="41"/>
      <c r="S43" s="41"/>
    </row>
    <row r="44" spans="1:19" s="15" customFormat="1" ht="26.25" customHeight="1" x14ac:dyDescent="0.2">
      <c r="A44" s="43" t="s">
        <v>168</v>
      </c>
      <c r="B44" s="46" t="s">
        <v>145</v>
      </c>
      <c r="C44" s="44" t="s">
        <v>175</v>
      </c>
      <c r="D44" s="34">
        <v>6575</v>
      </c>
      <c r="E44" s="46" t="s">
        <v>182</v>
      </c>
      <c r="F44" s="35">
        <f>15000+15000+15000</f>
        <v>45000</v>
      </c>
      <c r="G44" s="35">
        <f>15000+15000+15000</f>
        <v>45000</v>
      </c>
      <c r="H44" s="35">
        <v>0</v>
      </c>
      <c r="I44" s="35">
        <f t="shared" si="8"/>
        <v>45000</v>
      </c>
      <c r="J44" s="36">
        <f t="shared" si="9"/>
        <v>0</v>
      </c>
      <c r="K44" s="48" t="s">
        <v>83</v>
      </c>
      <c r="L44" s="48" t="s">
        <v>83</v>
      </c>
      <c r="M44" s="38">
        <v>41820</v>
      </c>
      <c r="N44" s="48" t="s">
        <v>84</v>
      </c>
      <c r="O44" s="41">
        <v>15000</v>
      </c>
      <c r="P44" s="41">
        <v>15000</v>
      </c>
      <c r="Q44" s="41">
        <v>15000</v>
      </c>
      <c r="R44" s="41"/>
      <c r="S44" s="41"/>
    </row>
    <row r="45" spans="1:19" s="15" customFormat="1" ht="26.25" customHeight="1" x14ac:dyDescent="0.2">
      <c r="A45" s="43" t="s">
        <v>169</v>
      </c>
      <c r="B45" s="46" t="s">
        <v>42</v>
      </c>
      <c r="C45" s="44" t="s">
        <v>176</v>
      </c>
      <c r="D45" s="34">
        <v>7002</v>
      </c>
      <c r="E45" s="46" t="s">
        <v>184</v>
      </c>
      <c r="F45" s="35">
        <v>6000</v>
      </c>
      <c r="G45" s="40">
        <v>6000</v>
      </c>
      <c r="H45" s="35">
        <v>0</v>
      </c>
      <c r="I45" s="35">
        <f t="shared" si="8"/>
        <v>6000</v>
      </c>
      <c r="J45" s="36">
        <f t="shared" si="9"/>
        <v>0</v>
      </c>
      <c r="K45" s="48" t="s">
        <v>83</v>
      </c>
      <c r="L45" s="48" t="s">
        <v>83</v>
      </c>
      <c r="M45" s="38">
        <v>41820</v>
      </c>
      <c r="N45" s="48"/>
      <c r="O45" s="41">
        <v>6000</v>
      </c>
      <c r="P45" s="41"/>
      <c r="Q45" s="41"/>
      <c r="R45" s="41"/>
      <c r="S45" s="41"/>
    </row>
    <row r="46" spans="1:19" s="15" customFormat="1" ht="26.25" customHeight="1" x14ac:dyDescent="0.2">
      <c r="A46" s="43" t="s">
        <v>170</v>
      </c>
      <c r="B46" s="46" t="s">
        <v>39</v>
      </c>
      <c r="C46" s="44" t="s">
        <v>177</v>
      </c>
      <c r="D46" s="34">
        <v>6859</v>
      </c>
      <c r="E46" s="46" t="s">
        <v>185</v>
      </c>
      <c r="F46" s="35">
        <v>5500</v>
      </c>
      <c r="G46" s="40">
        <v>5500</v>
      </c>
      <c r="H46" s="35">
        <v>0</v>
      </c>
      <c r="I46" s="35">
        <f t="shared" si="8"/>
        <v>5500</v>
      </c>
      <c r="J46" s="36">
        <f t="shared" si="9"/>
        <v>0</v>
      </c>
      <c r="K46" s="48" t="s">
        <v>83</v>
      </c>
      <c r="L46" s="48" t="s">
        <v>83</v>
      </c>
      <c r="M46" s="38">
        <v>41547</v>
      </c>
      <c r="N46" s="48"/>
      <c r="O46" s="41">
        <v>5500</v>
      </c>
      <c r="P46" s="41"/>
      <c r="Q46" s="41"/>
      <c r="R46" s="41"/>
      <c r="S46" s="41"/>
    </row>
    <row r="47" spans="1:19" s="15" customFormat="1" ht="26.25" customHeight="1" x14ac:dyDescent="0.2">
      <c r="A47" s="43" t="s">
        <v>171</v>
      </c>
      <c r="B47" s="46" t="s">
        <v>39</v>
      </c>
      <c r="C47" s="44" t="s">
        <v>178</v>
      </c>
      <c r="D47" s="34">
        <v>6927</v>
      </c>
      <c r="E47" s="46" t="s">
        <v>183</v>
      </c>
      <c r="F47" s="35">
        <v>9541</v>
      </c>
      <c r="G47" s="40">
        <v>9541</v>
      </c>
      <c r="H47" s="35">
        <v>0</v>
      </c>
      <c r="I47" s="35">
        <f t="shared" si="8"/>
        <v>9541</v>
      </c>
      <c r="J47" s="36">
        <f t="shared" si="9"/>
        <v>0</v>
      </c>
      <c r="K47" s="48" t="s">
        <v>83</v>
      </c>
      <c r="L47" s="48" t="s">
        <v>83</v>
      </c>
      <c r="M47" s="38">
        <v>41489</v>
      </c>
      <c r="N47" s="48"/>
      <c r="O47" s="41">
        <v>9541</v>
      </c>
      <c r="P47" s="41"/>
      <c r="Q47" s="41"/>
      <c r="R47" s="41"/>
      <c r="S47" s="41"/>
    </row>
    <row r="48" spans="1:19" s="15" customFormat="1" ht="26.25" customHeight="1" x14ac:dyDescent="0.2">
      <c r="A48" s="43" t="s">
        <v>172</v>
      </c>
      <c r="B48" s="46" t="s">
        <v>39</v>
      </c>
      <c r="C48" s="44" t="s">
        <v>179</v>
      </c>
      <c r="D48" s="34">
        <v>6928</v>
      </c>
      <c r="E48" s="46" t="s">
        <v>186</v>
      </c>
      <c r="F48" s="35">
        <v>27500</v>
      </c>
      <c r="G48" s="40">
        <v>27500</v>
      </c>
      <c r="H48" s="35">
        <v>0</v>
      </c>
      <c r="I48" s="35">
        <f t="shared" si="8"/>
        <v>27500</v>
      </c>
      <c r="J48" s="36">
        <f t="shared" si="9"/>
        <v>0</v>
      </c>
      <c r="K48" s="48" t="s">
        <v>83</v>
      </c>
      <c r="L48" s="48" t="s">
        <v>83</v>
      </c>
      <c r="M48" s="38">
        <v>41820</v>
      </c>
      <c r="N48" s="37"/>
      <c r="O48" s="41">
        <v>27500</v>
      </c>
      <c r="P48" s="41"/>
      <c r="Q48" s="41"/>
      <c r="R48" s="41"/>
      <c r="S48" s="41"/>
    </row>
    <row r="49" spans="1:19" s="15" customFormat="1" ht="26.25" customHeight="1" x14ac:dyDescent="0.2">
      <c r="A49" s="43" t="s">
        <v>187</v>
      </c>
      <c r="B49" s="46" t="s">
        <v>94</v>
      </c>
      <c r="C49" s="44" t="s">
        <v>201</v>
      </c>
      <c r="D49" s="34">
        <v>6599</v>
      </c>
      <c r="E49" s="46" t="s">
        <v>216</v>
      </c>
      <c r="F49" s="40">
        <f>70000+70000</f>
        <v>140000</v>
      </c>
      <c r="G49" s="40">
        <f>70000+70000</f>
        <v>140000</v>
      </c>
      <c r="H49" s="35">
        <v>0</v>
      </c>
      <c r="I49" s="35">
        <f t="shared" ref="I49:I57" si="10">G49+H49</f>
        <v>140000</v>
      </c>
      <c r="J49" s="36">
        <f t="shared" ref="J49:J57" si="11">IF(G49=0,100%,(I49-G49)/G49)</f>
        <v>0</v>
      </c>
      <c r="K49" s="48" t="s">
        <v>83</v>
      </c>
      <c r="L49" s="48" t="s">
        <v>83</v>
      </c>
      <c r="M49" s="52">
        <v>41820</v>
      </c>
      <c r="N49" s="48" t="s">
        <v>84</v>
      </c>
      <c r="O49" s="41">
        <v>70000</v>
      </c>
      <c r="P49" s="41">
        <v>70000</v>
      </c>
      <c r="Q49" s="41"/>
      <c r="R49" s="41"/>
      <c r="S49" s="41"/>
    </row>
    <row r="50" spans="1:19" s="15" customFormat="1" ht="26.25" customHeight="1" x14ac:dyDescent="0.2">
      <c r="A50" s="43" t="s">
        <v>188</v>
      </c>
      <c r="B50" s="46" t="s">
        <v>159</v>
      </c>
      <c r="C50" s="44" t="s">
        <v>202</v>
      </c>
      <c r="D50" s="34">
        <v>6929</v>
      </c>
      <c r="E50" s="46" t="s">
        <v>217</v>
      </c>
      <c r="F50" s="35">
        <v>99000</v>
      </c>
      <c r="G50" s="40">
        <v>99000</v>
      </c>
      <c r="H50" s="35">
        <v>0</v>
      </c>
      <c r="I50" s="35">
        <f t="shared" si="10"/>
        <v>99000</v>
      </c>
      <c r="J50" s="36">
        <f t="shared" si="11"/>
        <v>0</v>
      </c>
      <c r="K50" s="48" t="s">
        <v>83</v>
      </c>
      <c r="L50" s="48" t="s">
        <v>83</v>
      </c>
      <c r="M50" s="52">
        <v>41820</v>
      </c>
      <c r="N50" s="48"/>
      <c r="O50" s="35">
        <v>99000</v>
      </c>
      <c r="P50" s="35"/>
      <c r="Q50" s="35"/>
      <c r="R50" s="35"/>
      <c r="S50" s="41"/>
    </row>
    <row r="51" spans="1:19" s="15" customFormat="1" ht="26.25" customHeight="1" x14ac:dyDescent="0.2">
      <c r="A51" s="43" t="s">
        <v>189</v>
      </c>
      <c r="B51" s="46" t="s">
        <v>47</v>
      </c>
      <c r="C51" s="44" t="s">
        <v>203</v>
      </c>
      <c r="D51" s="47" t="s">
        <v>212</v>
      </c>
      <c r="E51" s="46" t="s">
        <v>218</v>
      </c>
      <c r="F51" s="35">
        <v>85000</v>
      </c>
      <c r="G51" s="40">
        <v>85000</v>
      </c>
      <c r="H51" s="35">
        <v>0</v>
      </c>
      <c r="I51" s="35">
        <f t="shared" si="10"/>
        <v>85000</v>
      </c>
      <c r="J51" s="36">
        <f t="shared" si="11"/>
        <v>0</v>
      </c>
      <c r="K51" s="48" t="s">
        <v>83</v>
      </c>
      <c r="L51" s="48" t="s">
        <v>83</v>
      </c>
      <c r="M51" s="52">
        <v>41820</v>
      </c>
      <c r="N51" s="48"/>
      <c r="O51" s="35">
        <v>85000</v>
      </c>
      <c r="P51" s="35"/>
      <c r="Q51" s="35"/>
      <c r="R51" s="35"/>
      <c r="S51" s="41"/>
    </row>
    <row r="52" spans="1:19" s="15" customFormat="1" ht="26.25" customHeight="1" x14ac:dyDescent="0.2">
      <c r="A52" s="43" t="s">
        <v>190</v>
      </c>
      <c r="B52" s="46" t="s">
        <v>47</v>
      </c>
      <c r="C52" s="44" t="s">
        <v>204</v>
      </c>
      <c r="D52" s="47" t="s">
        <v>213</v>
      </c>
      <c r="E52" s="46" t="s">
        <v>219</v>
      </c>
      <c r="F52" s="35">
        <v>99000</v>
      </c>
      <c r="G52" s="40">
        <v>99000</v>
      </c>
      <c r="H52" s="35">
        <v>0</v>
      </c>
      <c r="I52" s="35">
        <f t="shared" si="10"/>
        <v>99000</v>
      </c>
      <c r="J52" s="36">
        <f t="shared" si="11"/>
        <v>0</v>
      </c>
      <c r="K52" s="48" t="s">
        <v>83</v>
      </c>
      <c r="L52" s="48" t="s">
        <v>83</v>
      </c>
      <c r="M52" s="38">
        <v>41820</v>
      </c>
      <c r="N52" s="48"/>
      <c r="O52" s="35">
        <v>99000</v>
      </c>
      <c r="P52" s="35"/>
      <c r="Q52" s="35"/>
      <c r="R52" s="35"/>
      <c r="S52" s="41"/>
    </row>
    <row r="53" spans="1:19" s="15" customFormat="1" ht="26.25" customHeight="1" x14ac:dyDescent="0.2">
      <c r="A53" s="43" t="s">
        <v>191</v>
      </c>
      <c r="B53" s="46" t="s">
        <v>47</v>
      </c>
      <c r="C53" s="44" t="s">
        <v>205</v>
      </c>
      <c r="D53" s="47" t="s">
        <v>214</v>
      </c>
      <c r="E53" s="46" t="s">
        <v>218</v>
      </c>
      <c r="F53" s="35">
        <v>99000</v>
      </c>
      <c r="G53" s="40">
        <v>99000</v>
      </c>
      <c r="H53" s="35">
        <v>0</v>
      </c>
      <c r="I53" s="35">
        <f t="shared" si="10"/>
        <v>99000</v>
      </c>
      <c r="J53" s="36">
        <f t="shared" si="11"/>
        <v>0</v>
      </c>
      <c r="K53" s="48" t="s">
        <v>83</v>
      </c>
      <c r="L53" s="48" t="s">
        <v>83</v>
      </c>
      <c r="M53" s="38">
        <v>41820</v>
      </c>
      <c r="N53" s="48"/>
      <c r="O53" s="35">
        <v>99000</v>
      </c>
      <c r="P53" s="35"/>
      <c r="Q53" s="35"/>
      <c r="R53" s="35"/>
      <c r="S53" s="41"/>
    </row>
    <row r="54" spans="1:19" s="15" customFormat="1" ht="26.25" customHeight="1" x14ac:dyDescent="0.2">
      <c r="A54" s="43" t="s">
        <v>192</v>
      </c>
      <c r="B54" s="46" t="s">
        <v>198</v>
      </c>
      <c r="C54" s="44" t="s">
        <v>206</v>
      </c>
      <c r="D54" s="47" t="s">
        <v>215</v>
      </c>
      <c r="E54" s="46" t="s">
        <v>220</v>
      </c>
      <c r="F54" s="35">
        <f>40000+40000</f>
        <v>80000</v>
      </c>
      <c r="G54" s="40">
        <v>40000</v>
      </c>
      <c r="H54" s="35">
        <f>40000+40000</f>
        <v>80000</v>
      </c>
      <c r="I54" s="35">
        <f t="shared" si="10"/>
        <v>120000</v>
      </c>
      <c r="J54" s="36">
        <f t="shared" si="11"/>
        <v>2</v>
      </c>
      <c r="K54" s="48" t="s">
        <v>83</v>
      </c>
      <c r="L54" s="48" t="s">
        <v>83</v>
      </c>
      <c r="M54" s="38">
        <v>41820</v>
      </c>
      <c r="N54" s="48" t="s">
        <v>86</v>
      </c>
      <c r="O54" s="35">
        <v>40000</v>
      </c>
      <c r="P54" s="35">
        <v>40000</v>
      </c>
      <c r="Q54" s="35"/>
      <c r="R54" s="35"/>
      <c r="S54" s="41"/>
    </row>
    <row r="55" spans="1:19" s="15" customFormat="1" ht="26.25" customHeight="1" x14ac:dyDescent="0.2">
      <c r="A55" s="43" t="s">
        <v>193</v>
      </c>
      <c r="B55" s="46" t="s">
        <v>199</v>
      </c>
      <c r="C55" s="44" t="s">
        <v>207</v>
      </c>
      <c r="D55" s="34">
        <v>6925</v>
      </c>
      <c r="E55" s="46" t="s">
        <v>221</v>
      </c>
      <c r="F55" s="35">
        <v>99000</v>
      </c>
      <c r="G55" s="40">
        <v>99000</v>
      </c>
      <c r="H55" s="35">
        <v>0</v>
      </c>
      <c r="I55" s="35">
        <f t="shared" si="10"/>
        <v>99000</v>
      </c>
      <c r="J55" s="36">
        <f t="shared" si="11"/>
        <v>0</v>
      </c>
      <c r="K55" s="48" t="s">
        <v>83</v>
      </c>
      <c r="L55" s="48" t="s">
        <v>83</v>
      </c>
      <c r="M55" s="38">
        <v>41820</v>
      </c>
      <c r="N55" s="37"/>
      <c r="O55" s="35">
        <v>99000</v>
      </c>
      <c r="P55" s="35"/>
      <c r="Q55" s="35"/>
      <c r="R55" s="35"/>
      <c r="S55" s="41"/>
    </row>
    <row r="56" spans="1:19" s="15" customFormat="1" ht="26.25" customHeight="1" x14ac:dyDescent="0.2">
      <c r="A56" s="43" t="s">
        <v>194</v>
      </c>
      <c r="B56" s="46" t="s">
        <v>200</v>
      </c>
      <c r="C56" s="44" t="s">
        <v>208</v>
      </c>
      <c r="D56" s="34">
        <v>6949</v>
      </c>
      <c r="E56" s="46" t="s">
        <v>222</v>
      </c>
      <c r="F56" s="35">
        <v>50611</v>
      </c>
      <c r="G56" s="40">
        <v>50611</v>
      </c>
      <c r="H56" s="35">
        <v>0</v>
      </c>
      <c r="I56" s="35">
        <f t="shared" si="10"/>
        <v>50611</v>
      </c>
      <c r="J56" s="36">
        <f t="shared" si="11"/>
        <v>0</v>
      </c>
      <c r="K56" s="48" t="s">
        <v>83</v>
      </c>
      <c r="L56" s="48" t="s">
        <v>83</v>
      </c>
      <c r="M56" s="38">
        <v>41820</v>
      </c>
      <c r="N56" s="37"/>
      <c r="O56" s="35">
        <v>50611</v>
      </c>
      <c r="P56" s="35"/>
      <c r="Q56" s="35"/>
      <c r="R56" s="35"/>
      <c r="S56" s="41"/>
    </row>
    <row r="57" spans="1:19" s="15" customFormat="1" ht="26.25" customHeight="1" x14ac:dyDescent="0.2">
      <c r="A57" s="43" t="s">
        <v>195</v>
      </c>
      <c r="B57" s="46" t="s">
        <v>159</v>
      </c>
      <c r="C57" s="44" t="s">
        <v>209</v>
      </c>
      <c r="D57" s="34">
        <v>6980</v>
      </c>
      <c r="E57" s="46" t="s">
        <v>223</v>
      </c>
      <c r="F57" s="35">
        <v>99000</v>
      </c>
      <c r="G57" s="40">
        <v>99000</v>
      </c>
      <c r="H57" s="35">
        <v>0</v>
      </c>
      <c r="I57" s="35">
        <f t="shared" si="10"/>
        <v>99000</v>
      </c>
      <c r="J57" s="36">
        <f t="shared" si="11"/>
        <v>0</v>
      </c>
      <c r="K57" s="48" t="s">
        <v>83</v>
      </c>
      <c r="L57" s="48" t="s">
        <v>83</v>
      </c>
      <c r="M57" s="38">
        <v>41820</v>
      </c>
      <c r="N57" s="48"/>
      <c r="O57" s="35">
        <v>99000</v>
      </c>
      <c r="P57" s="35"/>
      <c r="Q57" s="35"/>
      <c r="R57" s="35"/>
      <c r="S57" s="41"/>
    </row>
    <row r="58" spans="1:19" s="15" customFormat="1" ht="26.25" customHeight="1" x14ac:dyDescent="0.2">
      <c r="A58" s="43" t="s">
        <v>196</v>
      </c>
      <c r="B58" s="46" t="s">
        <v>159</v>
      </c>
      <c r="C58" s="44" t="s">
        <v>210</v>
      </c>
      <c r="D58" s="34">
        <v>6987</v>
      </c>
      <c r="E58" s="46" t="s">
        <v>224</v>
      </c>
      <c r="F58" s="35">
        <f>99535*3</f>
        <v>298605</v>
      </c>
      <c r="G58" s="35">
        <f>99535*3</f>
        <v>298605</v>
      </c>
      <c r="H58" s="35">
        <v>0</v>
      </c>
      <c r="I58" s="35">
        <f t="shared" ref="I58:I64" si="12">G58+H58</f>
        <v>298605</v>
      </c>
      <c r="J58" s="36">
        <f t="shared" ref="J58:J64" si="13">IF(G58=0,100%,(I58-G58)/G58)</f>
        <v>0</v>
      </c>
      <c r="K58" s="48" t="s">
        <v>83</v>
      </c>
      <c r="L58" s="48" t="s">
        <v>83</v>
      </c>
      <c r="M58" s="38">
        <v>41820</v>
      </c>
      <c r="N58" s="48" t="s">
        <v>84</v>
      </c>
      <c r="O58" s="35">
        <v>99535</v>
      </c>
      <c r="P58" s="35">
        <v>99535</v>
      </c>
      <c r="Q58" s="35">
        <v>99535</v>
      </c>
      <c r="R58" s="35"/>
      <c r="S58" s="41"/>
    </row>
    <row r="59" spans="1:19" s="15" customFormat="1" ht="26.25" customHeight="1" x14ac:dyDescent="0.2">
      <c r="A59" s="43" t="s">
        <v>197</v>
      </c>
      <c r="B59" s="46" t="s">
        <v>94</v>
      </c>
      <c r="C59" s="44" t="s">
        <v>211</v>
      </c>
      <c r="D59" s="47">
        <v>6715</v>
      </c>
      <c r="E59" s="46" t="s">
        <v>225</v>
      </c>
      <c r="F59" s="35">
        <v>64000</v>
      </c>
      <c r="G59" s="40">
        <v>64000</v>
      </c>
      <c r="H59" s="35">
        <v>0</v>
      </c>
      <c r="I59" s="35">
        <f t="shared" si="12"/>
        <v>64000</v>
      </c>
      <c r="J59" s="36">
        <f t="shared" si="13"/>
        <v>0</v>
      </c>
      <c r="K59" s="48" t="s">
        <v>83</v>
      </c>
      <c r="L59" s="48" t="s">
        <v>83</v>
      </c>
      <c r="M59" s="38">
        <v>41820</v>
      </c>
      <c r="N59" s="37"/>
      <c r="O59" s="35">
        <v>64000</v>
      </c>
      <c r="P59" s="35"/>
      <c r="Q59" s="35"/>
      <c r="R59" s="35"/>
      <c r="S59" s="41"/>
    </row>
    <row r="60" spans="1:19" s="15" customFormat="1" ht="26.25" customHeight="1" x14ac:dyDescent="0.2">
      <c r="A60" s="43" t="s">
        <v>226</v>
      </c>
      <c r="B60" s="46" t="s">
        <v>198</v>
      </c>
      <c r="C60" s="44" t="s">
        <v>231</v>
      </c>
      <c r="D60" s="34">
        <v>6882</v>
      </c>
      <c r="E60" s="46" t="s">
        <v>240</v>
      </c>
      <c r="F60" s="35">
        <f>33565*3</f>
        <v>100695</v>
      </c>
      <c r="G60" s="40">
        <f>33565*3</f>
        <v>100695</v>
      </c>
      <c r="H60" s="35">
        <v>0</v>
      </c>
      <c r="I60" s="35">
        <f t="shared" si="12"/>
        <v>100695</v>
      </c>
      <c r="J60" s="36">
        <f t="shared" si="13"/>
        <v>0</v>
      </c>
      <c r="K60" s="48" t="s">
        <v>83</v>
      </c>
      <c r="L60" s="48" t="s">
        <v>83</v>
      </c>
      <c r="M60" s="38">
        <v>41820</v>
      </c>
      <c r="N60" s="48" t="s">
        <v>84</v>
      </c>
      <c r="O60" s="35">
        <v>33565</v>
      </c>
      <c r="P60" s="35">
        <v>33565</v>
      </c>
      <c r="Q60" s="35">
        <v>33565</v>
      </c>
      <c r="R60" s="35"/>
      <c r="S60" s="41"/>
    </row>
    <row r="61" spans="1:19" s="15" customFormat="1" ht="26.25" customHeight="1" x14ac:dyDescent="0.2">
      <c r="A61" s="43" t="s">
        <v>227</v>
      </c>
      <c r="B61" s="46" t="s">
        <v>159</v>
      </c>
      <c r="C61" s="44" t="s">
        <v>232</v>
      </c>
      <c r="D61" s="47" t="s">
        <v>236</v>
      </c>
      <c r="E61" s="46" t="s">
        <v>237</v>
      </c>
      <c r="F61" s="35">
        <v>15522</v>
      </c>
      <c r="G61" s="40">
        <v>15522</v>
      </c>
      <c r="H61" s="35">
        <v>0</v>
      </c>
      <c r="I61" s="35">
        <f t="shared" si="12"/>
        <v>15522</v>
      </c>
      <c r="J61" s="36">
        <f t="shared" si="13"/>
        <v>0</v>
      </c>
      <c r="K61" s="48" t="s">
        <v>83</v>
      </c>
      <c r="L61" s="48" t="s">
        <v>83</v>
      </c>
      <c r="M61" s="38">
        <v>41851</v>
      </c>
      <c r="N61" s="48"/>
      <c r="O61" s="35">
        <v>15522</v>
      </c>
      <c r="P61" s="35"/>
      <c r="Q61" s="35"/>
      <c r="R61" s="35"/>
      <c r="S61" s="41"/>
    </row>
    <row r="62" spans="1:19" s="15" customFormat="1" ht="26.25" customHeight="1" x14ac:dyDescent="0.2">
      <c r="A62" s="43" t="s">
        <v>228</v>
      </c>
      <c r="B62" s="46" t="s">
        <v>40</v>
      </c>
      <c r="C62" s="44" t="s">
        <v>233</v>
      </c>
      <c r="D62" s="34">
        <v>6959</v>
      </c>
      <c r="E62" s="46" t="s">
        <v>239</v>
      </c>
      <c r="F62" s="35">
        <v>8730</v>
      </c>
      <c r="G62" s="40">
        <v>8730</v>
      </c>
      <c r="H62" s="35">
        <v>0</v>
      </c>
      <c r="I62" s="35">
        <f t="shared" si="12"/>
        <v>8730</v>
      </c>
      <c r="J62" s="36">
        <f t="shared" si="13"/>
        <v>0</v>
      </c>
      <c r="K62" s="48" t="s">
        <v>83</v>
      </c>
      <c r="L62" s="48" t="s">
        <v>85</v>
      </c>
      <c r="M62" s="38">
        <v>41547</v>
      </c>
      <c r="N62" s="37"/>
      <c r="O62" s="35">
        <v>8730</v>
      </c>
      <c r="P62" s="35"/>
      <c r="Q62" s="35"/>
      <c r="R62" s="35"/>
      <c r="S62" s="41"/>
    </row>
    <row r="63" spans="1:19" s="15" customFormat="1" ht="26.25" customHeight="1" x14ac:dyDescent="0.2">
      <c r="A63" s="43" t="s">
        <v>229</v>
      </c>
      <c r="B63" s="46" t="s">
        <v>41</v>
      </c>
      <c r="C63" s="44" t="s">
        <v>234</v>
      </c>
      <c r="D63" s="34">
        <v>6885</v>
      </c>
      <c r="E63" s="46" t="s">
        <v>238</v>
      </c>
      <c r="F63" s="35">
        <v>10968</v>
      </c>
      <c r="G63" s="40">
        <v>10968</v>
      </c>
      <c r="H63" s="35">
        <v>0</v>
      </c>
      <c r="I63" s="35">
        <f t="shared" si="12"/>
        <v>10968</v>
      </c>
      <c r="J63" s="36">
        <f t="shared" si="13"/>
        <v>0</v>
      </c>
      <c r="K63" s="48" t="s">
        <v>83</v>
      </c>
      <c r="L63" s="48" t="s">
        <v>85</v>
      </c>
      <c r="M63" s="38">
        <v>41820</v>
      </c>
      <c r="N63" s="48"/>
      <c r="O63" s="35">
        <v>10968</v>
      </c>
      <c r="P63" s="35"/>
      <c r="Q63" s="35"/>
      <c r="R63" s="35"/>
      <c r="S63" s="41"/>
    </row>
    <row r="64" spans="1:19" s="15" customFormat="1" ht="26.25" customHeight="1" x14ac:dyDescent="0.2">
      <c r="A64" s="43" t="s">
        <v>230</v>
      </c>
      <c r="B64" s="46" t="s">
        <v>44</v>
      </c>
      <c r="C64" s="44" t="s">
        <v>235</v>
      </c>
      <c r="D64" s="47">
        <v>6358</v>
      </c>
      <c r="E64" s="46" t="s">
        <v>241</v>
      </c>
      <c r="F64" s="35">
        <v>24000</v>
      </c>
      <c r="G64" s="40">
        <v>24000</v>
      </c>
      <c r="H64" s="35">
        <v>0</v>
      </c>
      <c r="I64" s="35">
        <f t="shared" si="12"/>
        <v>24000</v>
      </c>
      <c r="J64" s="36">
        <f t="shared" si="13"/>
        <v>0</v>
      </c>
      <c r="K64" s="48" t="s">
        <v>83</v>
      </c>
      <c r="L64" s="48" t="s">
        <v>83</v>
      </c>
      <c r="M64" s="38">
        <v>41820</v>
      </c>
      <c r="N64" s="48"/>
      <c r="O64" s="35">
        <v>24000</v>
      </c>
      <c r="P64" s="35"/>
      <c r="Q64" s="35"/>
      <c r="R64" s="35"/>
      <c r="S64" s="41"/>
    </row>
    <row r="65" spans="1:19" s="15" customFormat="1" ht="26.25" customHeight="1" x14ac:dyDescent="0.2">
      <c r="A65" s="43" t="s">
        <v>242</v>
      </c>
      <c r="B65" s="46" t="s">
        <v>44</v>
      </c>
      <c r="C65" s="44" t="s">
        <v>250</v>
      </c>
      <c r="D65" s="34">
        <v>7199</v>
      </c>
      <c r="E65" s="46" t="s">
        <v>257</v>
      </c>
      <c r="F65" s="35">
        <v>41188</v>
      </c>
      <c r="G65" s="40">
        <v>41188</v>
      </c>
      <c r="H65" s="35">
        <v>0</v>
      </c>
      <c r="I65" s="35">
        <f t="shared" ref="I65:I73" si="14">G65+H65</f>
        <v>41188</v>
      </c>
      <c r="J65" s="36">
        <f t="shared" ref="J65:J73" si="15">IF(G65=0,100%,(I65-G65)/G65)</f>
        <v>0</v>
      </c>
      <c r="K65" s="48" t="s">
        <v>83</v>
      </c>
      <c r="L65" s="48" t="s">
        <v>83</v>
      </c>
      <c r="M65" s="38">
        <v>41912</v>
      </c>
      <c r="N65" s="48"/>
      <c r="O65" s="35">
        <v>41188</v>
      </c>
      <c r="P65" s="35"/>
      <c r="Q65" s="35"/>
      <c r="R65" s="35"/>
      <c r="S65" s="41"/>
    </row>
    <row r="66" spans="1:19" s="15" customFormat="1" ht="26.25" customHeight="1" x14ac:dyDescent="0.2">
      <c r="A66" s="43" t="s">
        <v>243</v>
      </c>
      <c r="B66" s="46" t="s">
        <v>44</v>
      </c>
      <c r="C66" s="44" t="s">
        <v>251</v>
      </c>
      <c r="D66" s="47">
        <v>6487</v>
      </c>
      <c r="E66" s="46" t="s">
        <v>258</v>
      </c>
      <c r="F66" s="35">
        <v>12000</v>
      </c>
      <c r="G66" s="40">
        <v>99000</v>
      </c>
      <c r="H66" s="35">
        <v>12000</v>
      </c>
      <c r="I66" s="35">
        <f t="shared" si="14"/>
        <v>111000</v>
      </c>
      <c r="J66" s="36">
        <f t="shared" si="15"/>
        <v>0.12121212121212122</v>
      </c>
      <c r="K66" s="48" t="s">
        <v>83</v>
      </c>
      <c r="L66" s="48" t="s">
        <v>83</v>
      </c>
      <c r="M66" s="38">
        <v>41759</v>
      </c>
      <c r="N66" s="48" t="s">
        <v>86</v>
      </c>
      <c r="O66" s="35">
        <v>12000</v>
      </c>
      <c r="P66" s="35"/>
      <c r="Q66" s="35"/>
      <c r="R66" s="35"/>
      <c r="S66" s="41"/>
    </row>
    <row r="67" spans="1:19" s="15" customFormat="1" ht="26.25" customHeight="1" x14ac:dyDescent="0.2">
      <c r="A67" s="43" t="s">
        <v>244</v>
      </c>
      <c r="B67" s="46" t="s">
        <v>94</v>
      </c>
      <c r="C67" s="44" t="s">
        <v>252</v>
      </c>
      <c r="D67" s="34">
        <v>6761</v>
      </c>
      <c r="E67" s="46" t="s">
        <v>259</v>
      </c>
      <c r="F67" s="35">
        <f>31700*3</f>
        <v>95100</v>
      </c>
      <c r="G67" s="40">
        <f>31700*3</f>
        <v>95100</v>
      </c>
      <c r="H67" s="35">
        <v>0</v>
      </c>
      <c r="I67" s="35">
        <f t="shared" si="14"/>
        <v>95100</v>
      </c>
      <c r="J67" s="36">
        <f t="shared" si="15"/>
        <v>0</v>
      </c>
      <c r="K67" s="48" t="s">
        <v>83</v>
      </c>
      <c r="L67" s="48" t="s">
        <v>85</v>
      </c>
      <c r="M67" s="38">
        <v>41820</v>
      </c>
      <c r="N67" s="48" t="s">
        <v>84</v>
      </c>
      <c r="O67" s="35">
        <v>31700</v>
      </c>
      <c r="P67" s="35">
        <v>31700</v>
      </c>
      <c r="Q67" s="35">
        <v>31700</v>
      </c>
      <c r="R67" s="35"/>
      <c r="S67" s="41"/>
    </row>
    <row r="68" spans="1:19" s="15" customFormat="1" ht="26.25" customHeight="1" x14ac:dyDescent="0.2">
      <c r="A68" s="43" t="s">
        <v>245</v>
      </c>
      <c r="B68" s="46" t="s">
        <v>41</v>
      </c>
      <c r="C68" s="44" t="s">
        <v>177</v>
      </c>
      <c r="D68" s="34">
        <v>6859</v>
      </c>
      <c r="E68" s="46" t="s">
        <v>260</v>
      </c>
      <c r="F68" s="35">
        <v>7284</v>
      </c>
      <c r="G68" s="40">
        <v>7284</v>
      </c>
      <c r="H68" s="35">
        <v>0</v>
      </c>
      <c r="I68" s="35">
        <f t="shared" si="14"/>
        <v>7284</v>
      </c>
      <c r="J68" s="36">
        <f t="shared" si="15"/>
        <v>0</v>
      </c>
      <c r="K68" s="48" t="s">
        <v>83</v>
      </c>
      <c r="L68" s="48" t="s">
        <v>85</v>
      </c>
      <c r="M68" s="38">
        <v>41820</v>
      </c>
      <c r="N68" s="48"/>
      <c r="O68" s="35">
        <v>7284</v>
      </c>
      <c r="P68" s="35"/>
      <c r="Q68" s="35"/>
      <c r="R68" s="35"/>
      <c r="S68" s="41"/>
    </row>
    <row r="69" spans="1:19" s="15" customFormat="1" ht="26.25" customHeight="1" x14ac:dyDescent="0.2">
      <c r="A69" s="43" t="s">
        <v>246</v>
      </c>
      <c r="B69" s="46" t="s">
        <v>39</v>
      </c>
      <c r="C69" s="44" t="s">
        <v>253</v>
      </c>
      <c r="D69" s="34">
        <v>6865</v>
      </c>
      <c r="E69" s="46" t="s">
        <v>261</v>
      </c>
      <c r="F69" s="35">
        <v>5672</v>
      </c>
      <c r="G69" s="40">
        <v>5672</v>
      </c>
      <c r="H69" s="35">
        <v>0</v>
      </c>
      <c r="I69" s="35">
        <f t="shared" si="14"/>
        <v>5672</v>
      </c>
      <c r="J69" s="36">
        <f t="shared" si="15"/>
        <v>0</v>
      </c>
      <c r="K69" s="48" t="s">
        <v>83</v>
      </c>
      <c r="L69" s="48" t="s">
        <v>85</v>
      </c>
      <c r="M69" s="38">
        <v>41820</v>
      </c>
      <c r="N69" s="48"/>
      <c r="O69" s="35">
        <v>5672</v>
      </c>
      <c r="P69" s="35"/>
      <c r="Q69" s="35"/>
      <c r="R69" s="35"/>
      <c r="S69" s="41"/>
    </row>
    <row r="70" spans="1:19" s="15" customFormat="1" ht="26.25" customHeight="1" x14ac:dyDescent="0.2">
      <c r="A70" s="43" t="s">
        <v>247</v>
      </c>
      <c r="B70" s="46" t="s">
        <v>41</v>
      </c>
      <c r="C70" s="44" t="s">
        <v>254</v>
      </c>
      <c r="D70" s="34">
        <v>6884</v>
      </c>
      <c r="E70" s="46" t="s">
        <v>262</v>
      </c>
      <c r="F70" s="35">
        <v>11516</v>
      </c>
      <c r="G70" s="40">
        <v>11516</v>
      </c>
      <c r="H70" s="35">
        <v>0</v>
      </c>
      <c r="I70" s="35">
        <f t="shared" si="14"/>
        <v>11516</v>
      </c>
      <c r="J70" s="36">
        <f t="shared" si="15"/>
        <v>0</v>
      </c>
      <c r="K70" s="48" t="s">
        <v>83</v>
      </c>
      <c r="L70" s="48" t="s">
        <v>85</v>
      </c>
      <c r="M70" s="38">
        <v>41820</v>
      </c>
      <c r="N70" s="48"/>
      <c r="O70" s="35">
        <v>11516</v>
      </c>
      <c r="P70" s="35"/>
      <c r="Q70" s="35"/>
      <c r="R70" s="35"/>
      <c r="S70" s="41"/>
    </row>
    <row r="71" spans="1:19" s="15" customFormat="1" ht="26.25" customHeight="1" x14ac:dyDescent="0.2">
      <c r="A71" s="43" t="s">
        <v>248</v>
      </c>
      <c r="B71" s="46" t="s">
        <v>40</v>
      </c>
      <c r="C71" s="44" t="s">
        <v>255</v>
      </c>
      <c r="D71" s="34">
        <v>6892</v>
      </c>
      <c r="E71" s="46" t="s">
        <v>263</v>
      </c>
      <c r="F71" s="35">
        <v>25000</v>
      </c>
      <c r="G71" s="40">
        <v>25000</v>
      </c>
      <c r="H71" s="35">
        <v>0</v>
      </c>
      <c r="I71" s="35">
        <f t="shared" si="14"/>
        <v>25000</v>
      </c>
      <c r="J71" s="36">
        <f t="shared" si="15"/>
        <v>0</v>
      </c>
      <c r="K71" s="48" t="s">
        <v>83</v>
      </c>
      <c r="L71" s="48" t="s">
        <v>83</v>
      </c>
      <c r="M71" s="38">
        <v>41820</v>
      </c>
      <c r="N71" s="48"/>
      <c r="O71" s="35">
        <v>25000</v>
      </c>
      <c r="P71" s="35"/>
      <c r="Q71" s="35"/>
      <c r="R71" s="35"/>
      <c r="S71" s="41"/>
    </row>
    <row r="72" spans="1:19" s="15" customFormat="1" ht="18" customHeight="1" x14ac:dyDescent="0.2">
      <c r="A72" s="43" t="s">
        <v>249</v>
      </c>
      <c r="B72" s="46" t="s">
        <v>44</v>
      </c>
      <c r="C72" s="44" t="s">
        <v>256</v>
      </c>
      <c r="D72" s="34">
        <v>6964</v>
      </c>
      <c r="E72" s="46" t="s">
        <v>264</v>
      </c>
      <c r="F72" s="35">
        <f>49000*3</f>
        <v>147000</v>
      </c>
      <c r="G72" s="40">
        <f>49000*3</f>
        <v>147000</v>
      </c>
      <c r="H72" s="35">
        <v>0</v>
      </c>
      <c r="I72" s="35">
        <f t="shared" si="14"/>
        <v>147000</v>
      </c>
      <c r="J72" s="36">
        <f t="shared" si="15"/>
        <v>0</v>
      </c>
      <c r="K72" s="48" t="s">
        <v>83</v>
      </c>
      <c r="L72" s="48" t="s">
        <v>83</v>
      </c>
      <c r="M72" s="52">
        <v>41912</v>
      </c>
      <c r="N72" s="48" t="s">
        <v>84</v>
      </c>
      <c r="O72" s="35">
        <v>49000</v>
      </c>
      <c r="P72" s="35">
        <v>49000</v>
      </c>
      <c r="Q72" s="35">
        <v>49000</v>
      </c>
      <c r="R72" s="35"/>
      <c r="S72" s="41"/>
    </row>
    <row r="73" spans="1:19" s="15" customFormat="1" ht="26.25" customHeight="1" x14ac:dyDescent="0.2">
      <c r="A73" s="43" t="s">
        <v>265</v>
      </c>
      <c r="B73" s="46" t="s">
        <v>40</v>
      </c>
      <c r="C73" s="44" t="s">
        <v>279</v>
      </c>
      <c r="D73" s="34">
        <v>6347</v>
      </c>
      <c r="E73" s="46" t="s">
        <v>294</v>
      </c>
      <c r="F73" s="35">
        <f>30000*3</f>
        <v>90000</v>
      </c>
      <c r="G73" s="40">
        <f>30000*3</f>
        <v>90000</v>
      </c>
      <c r="H73" s="35">
        <v>0</v>
      </c>
      <c r="I73" s="35">
        <f t="shared" si="14"/>
        <v>90000</v>
      </c>
      <c r="J73" s="36">
        <f t="shared" si="15"/>
        <v>0</v>
      </c>
      <c r="K73" s="48" t="s">
        <v>83</v>
      </c>
      <c r="L73" s="48" t="s">
        <v>85</v>
      </c>
      <c r="M73" s="52">
        <v>41820</v>
      </c>
      <c r="N73" s="48" t="s">
        <v>84</v>
      </c>
      <c r="O73" s="35">
        <v>30000</v>
      </c>
      <c r="P73" s="35">
        <v>30000</v>
      </c>
      <c r="Q73" s="35">
        <v>30000</v>
      </c>
      <c r="R73" s="35"/>
      <c r="S73" s="41"/>
    </row>
    <row r="74" spans="1:19" s="15" customFormat="1" ht="26.25" customHeight="1" x14ac:dyDescent="0.2">
      <c r="A74" s="43" t="s">
        <v>266</v>
      </c>
      <c r="B74" s="46" t="s">
        <v>124</v>
      </c>
      <c r="C74" s="44" t="s">
        <v>280</v>
      </c>
      <c r="D74" s="47">
        <v>6588</v>
      </c>
      <c r="E74" s="46" t="s">
        <v>295</v>
      </c>
      <c r="F74" s="35">
        <v>49000</v>
      </c>
      <c r="G74" s="40">
        <v>49000</v>
      </c>
      <c r="H74" s="35">
        <v>0</v>
      </c>
      <c r="I74" s="35">
        <f t="shared" ref="I74:I86" si="16">G74+H74</f>
        <v>49000</v>
      </c>
      <c r="J74" s="36">
        <f t="shared" ref="J74:J86" si="17">IF(G74=0,100%,(I74-G74)/G74)</f>
        <v>0</v>
      </c>
      <c r="K74" s="48" t="s">
        <v>83</v>
      </c>
      <c r="L74" s="48" t="s">
        <v>83</v>
      </c>
      <c r="M74" s="52">
        <v>41820</v>
      </c>
      <c r="N74" s="48"/>
      <c r="O74" s="35">
        <v>49000</v>
      </c>
      <c r="P74" s="35"/>
      <c r="Q74" s="35"/>
      <c r="R74" s="35"/>
      <c r="S74" s="41"/>
    </row>
    <row r="75" spans="1:19" s="15" customFormat="1" ht="26.25" customHeight="1" x14ac:dyDescent="0.2">
      <c r="A75" s="43" t="s">
        <v>267</v>
      </c>
      <c r="B75" s="46" t="s">
        <v>124</v>
      </c>
      <c r="C75" s="44" t="s">
        <v>281</v>
      </c>
      <c r="D75" s="34">
        <v>6589</v>
      </c>
      <c r="E75" s="46" t="s">
        <v>296</v>
      </c>
      <c r="F75" s="35">
        <v>49000</v>
      </c>
      <c r="G75" s="40">
        <v>49000</v>
      </c>
      <c r="H75" s="35">
        <v>0</v>
      </c>
      <c r="I75" s="35">
        <f t="shared" si="16"/>
        <v>49000</v>
      </c>
      <c r="J75" s="36">
        <f t="shared" si="17"/>
        <v>0</v>
      </c>
      <c r="K75" s="48" t="s">
        <v>83</v>
      </c>
      <c r="L75" s="48" t="s">
        <v>83</v>
      </c>
      <c r="M75" s="52">
        <v>41820</v>
      </c>
      <c r="N75" s="48"/>
      <c r="O75" s="35">
        <v>49000</v>
      </c>
      <c r="P75" s="35"/>
      <c r="Q75" s="35"/>
      <c r="R75" s="35"/>
      <c r="S75" s="41"/>
    </row>
    <row r="76" spans="1:19" s="15" customFormat="1" ht="26.25" customHeight="1" x14ac:dyDescent="0.2">
      <c r="A76" s="43" t="s">
        <v>268</v>
      </c>
      <c r="B76" s="46" t="s">
        <v>37</v>
      </c>
      <c r="C76" s="44" t="s">
        <v>282</v>
      </c>
      <c r="D76" s="47" t="s">
        <v>291</v>
      </c>
      <c r="E76" s="46" t="s">
        <v>297</v>
      </c>
      <c r="F76" s="35">
        <v>11400</v>
      </c>
      <c r="G76" s="40">
        <v>45000</v>
      </c>
      <c r="H76" s="35">
        <v>11400</v>
      </c>
      <c r="I76" s="35">
        <f t="shared" si="16"/>
        <v>56400</v>
      </c>
      <c r="J76" s="36">
        <f t="shared" si="17"/>
        <v>0.25333333333333335</v>
      </c>
      <c r="K76" s="48" t="s">
        <v>83</v>
      </c>
      <c r="L76" s="48" t="s">
        <v>83</v>
      </c>
      <c r="M76" s="52">
        <v>41547</v>
      </c>
      <c r="N76" s="48" t="s">
        <v>86</v>
      </c>
      <c r="O76" s="35">
        <v>11400</v>
      </c>
      <c r="P76" s="35"/>
      <c r="Q76" s="35"/>
      <c r="R76" s="35"/>
      <c r="S76" s="41"/>
    </row>
    <row r="77" spans="1:19" s="15" customFormat="1" ht="26.25" customHeight="1" x14ac:dyDescent="0.2">
      <c r="A77" s="43" t="s">
        <v>269</v>
      </c>
      <c r="B77" s="46" t="s">
        <v>37</v>
      </c>
      <c r="C77" s="44" t="s">
        <v>283</v>
      </c>
      <c r="D77" s="47" t="s">
        <v>292</v>
      </c>
      <c r="E77" s="46" t="s">
        <v>298</v>
      </c>
      <c r="F77" s="35">
        <v>40000</v>
      </c>
      <c r="G77" s="40">
        <v>44500</v>
      </c>
      <c r="H77" s="35">
        <v>40000</v>
      </c>
      <c r="I77" s="35">
        <f t="shared" si="16"/>
        <v>84500</v>
      </c>
      <c r="J77" s="36">
        <f t="shared" si="17"/>
        <v>0.898876404494382</v>
      </c>
      <c r="K77" s="48" t="s">
        <v>83</v>
      </c>
      <c r="L77" s="48" t="s">
        <v>83</v>
      </c>
      <c r="M77" s="52">
        <v>41608</v>
      </c>
      <c r="N77" s="48" t="s">
        <v>86</v>
      </c>
      <c r="O77" s="35">
        <v>40000</v>
      </c>
      <c r="P77" s="35"/>
      <c r="Q77" s="35"/>
      <c r="R77" s="35"/>
      <c r="S77" s="41"/>
    </row>
    <row r="78" spans="1:19" s="15" customFormat="1" ht="26.25" customHeight="1" x14ac:dyDescent="0.2">
      <c r="A78" s="43" t="s">
        <v>270</v>
      </c>
      <c r="B78" s="46" t="s">
        <v>94</v>
      </c>
      <c r="C78" s="44" t="s">
        <v>284</v>
      </c>
      <c r="D78" s="34">
        <v>7008</v>
      </c>
      <c r="E78" s="46" t="s">
        <v>299</v>
      </c>
      <c r="F78" s="35">
        <f>25000*3</f>
        <v>75000</v>
      </c>
      <c r="G78" s="35">
        <f>25000*3</f>
        <v>75000</v>
      </c>
      <c r="H78" s="35">
        <v>0</v>
      </c>
      <c r="I78" s="35">
        <f t="shared" si="16"/>
        <v>75000</v>
      </c>
      <c r="J78" s="36">
        <f t="shared" si="17"/>
        <v>0</v>
      </c>
      <c r="K78" s="48" t="s">
        <v>83</v>
      </c>
      <c r="L78" s="48" t="s">
        <v>83</v>
      </c>
      <c r="M78" s="52">
        <v>41820</v>
      </c>
      <c r="N78" s="48" t="s">
        <v>84</v>
      </c>
      <c r="O78" s="35">
        <v>25000</v>
      </c>
      <c r="P78" s="35">
        <v>25000</v>
      </c>
      <c r="Q78" s="35">
        <v>25000</v>
      </c>
      <c r="R78" s="35"/>
      <c r="S78" s="41"/>
    </row>
    <row r="79" spans="1:19" s="15" customFormat="1" ht="26.25" customHeight="1" x14ac:dyDescent="0.2">
      <c r="A79" s="43" t="s">
        <v>271</v>
      </c>
      <c r="B79" s="46" t="s">
        <v>94</v>
      </c>
      <c r="C79" s="44" t="s">
        <v>285</v>
      </c>
      <c r="D79" s="34">
        <v>7030</v>
      </c>
      <c r="E79" s="46" t="s">
        <v>300</v>
      </c>
      <c r="F79" s="35">
        <f>30000*3</f>
        <v>90000</v>
      </c>
      <c r="G79" s="40">
        <f>30000*3</f>
        <v>90000</v>
      </c>
      <c r="H79" s="35">
        <v>0</v>
      </c>
      <c r="I79" s="35">
        <f t="shared" si="16"/>
        <v>90000</v>
      </c>
      <c r="J79" s="36">
        <f t="shared" si="17"/>
        <v>0</v>
      </c>
      <c r="K79" s="48" t="s">
        <v>83</v>
      </c>
      <c r="L79" s="48" t="s">
        <v>83</v>
      </c>
      <c r="M79" s="52">
        <v>41820</v>
      </c>
      <c r="N79" s="48" t="s">
        <v>84</v>
      </c>
      <c r="O79" s="35">
        <v>30000</v>
      </c>
      <c r="P79" s="35">
        <v>30000</v>
      </c>
      <c r="Q79" s="35">
        <v>30000</v>
      </c>
      <c r="R79" s="35"/>
      <c r="S79" s="41"/>
    </row>
    <row r="80" spans="1:19" s="15" customFormat="1" ht="26.25" customHeight="1" x14ac:dyDescent="0.2">
      <c r="A80" s="43" t="s">
        <v>272</v>
      </c>
      <c r="B80" s="46" t="s">
        <v>159</v>
      </c>
      <c r="C80" s="44" t="s">
        <v>161</v>
      </c>
      <c r="D80" s="47" t="s">
        <v>293</v>
      </c>
      <c r="E80" s="46" t="s">
        <v>301</v>
      </c>
      <c r="F80" s="35">
        <v>15200</v>
      </c>
      <c r="G80" s="40">
        <v>5400</v>
      </c>
      <c r="H80" s="35">
        <v>15200</v>
      </c>
      <c r="I80" s="35">
        <f t="shared" si="16"/>
        <v>20600</v>
      </c>
      <c r="J80" s="36">
        <f t="shared" si="17"/>
        <v>2.8148148148148149</v>
      </c>
      <c r="K80" s="48" t="s">
        <v>83</v>
      </c>
      <c r="L80" s="48" t="s">
        <v>83</v>
      </c>
      <c r="M80" s="38">
        <v>41820</v>
      </c>
      <c r="N80" s="48" t="s">
        <v>86</v>
      </c>
      <c r="O80" s="35">
        <v>15200</v>
      </c>
      <c r="P80" s="35"/>
      <c r="Q80" s="35"/>
      <c r="R80" s="35"/>
      <c r="S80" s="41"/>
    </row>
    <row r="81" spans="1:19" s="15" customFormat="1" ht="26.25" customHeight="1" x14ac:dyDescent="0.2">
      <c r="A81" s="43" t="s">
        <v>273</v>
      </c>
      <c r="B81" s="46" t="s">
        <v>159</v>
      </c>
      <c r="C81" s="44" t="s">
        <v>286</v>
      </c>
      <c r="D81" s="47">
        <v>7058</v>
      </c>
      <c r="E81" s="46" t="s">
        <v>302</v>
      </c>
      <c r="F81" s="35">
        <v>20750</v>
      </c>
      <c r="G81" s="40">
        <v>20750</v>
      </c>
      <c r="H81" s="35">
        <v>0</v>
      </c>
      <c r="I81" s="35">
        <f t="shared" si="16"/>
        <v>20750</v>
      </c>
      <c r="J81" s="36">
        <f t="shared" si="17"/>
        <v>0</v>
      </c>
      <c r="K81" s="48" t="s">
        <v>83</v>
      </c>
      <c r="L81" s="48" t="s">
        <v>83</v>
      </c>
      <c r="M81" s="38">
        <v>41820</v>
      </c>
      <c r="N81" s="37"/>
      <c r="O81" s="35">
        <v>20750</v>
      </c>
      <c r="P81" s="35"/>
      <c r="Q81" s="35"/>
      <c r="R81" s="35"/>
      <c r="S81" s="41"/>
    </row>
    <row r="82" spans="1:19" s="15" customFormat="1" ht="26.25" customHeight="1" x14ac:dyDescent="0.2">
      <c r="A82" s="43" t="s">
        <v>274</v>
      </c>
      <c r="B82" s="46" t="s">
        <v>159</v>
      </c>
      <c r="C82" s="44" t="s">
        <v>287</v>
      </c>
      <c r="D82" s="34">
        <v>7059</v>
      </c>
      <c r="E82" s="46" t="s">
        <v>303</v>
      </c>
      <c r="F82" s="35">
        <v>35000</v>
      </c>
      <c r="G82" s="40">
        <v>35000</v>
      </c>
      <c r="H82" s="35">
        <v>0</v>
      </c>
      <c r="I82" s="35">
        <f t="shared" si="16"/>
        <v>35000</v>
      </c>
      <c r="J82" s="36">
        <f t="shared" si="17"/>
        <v>0</v>
      </c>
      <c r="K82" s="48" t="s">
        <v>83</v>
      </c>
      <c r="L82" s="48" t="s">
        <v>83</v>
      </c>
      <c r="M82" s="38">
        <v>41820</v>
      </c>
      <c r="N82" s="48"/>
      <c r="O82" s="35">
        <v>35000</v>
      </c>
      <c r="P82" s="35"/>
      <c r="Q82" s="35"/>
      <c r="R82" s="35"/>
      <c r="S82" s="41"/>
    </row>
    <row r="83" spans="1:19" s="15" customFormat="1" ht="26.25" customHeight="1" x14ac:dyDescent="0.2">
      <c r="A83" s="43" t="s">
        <v>275</v>
      </c>
      <c r="B83" s="46" t="s">
        <v>159</v>
      </c>
      <c r="C83" s="44" t="s">
        <v>288</v>
      </c>
      <c r="D83" s="34">
        <v>7061</v>
      </c>
      <c r="E83" s="46" t="s">
        <v>304</v>
      </c>
      <c r="F83" s="35">
        <v>25000</v>
      </c>
      <c r="G83" s="40">
        <v>25000</v>
      </c>
      <c r="H83" s="35">
        <v>0</v>
      </c>
      <c r="I83" s="35">
        <f t="shared" si="16"/>
        <v>25000</v>
      </c>
      <c r="J83" s="36">
        <f t="shared" si="17"/>
        <v>0</v>
      </c>
      <c r="K83" s="48" t="s">
        <v>83</v>
      </c>
      <c r="L83" s="48" t="s">
        <v>83</v>
      </c>
      <c r="M83" s="52">
        <v>41459</v>
      </c>
      <c r="N83" s="48"/>
      <c r="O83" s="35">
        <v>25000</v>
      </c>
      <c r="P83" s="35"/>
      <c r="Q83" s="35"/>
      <c r="R83" s="35"/>
      <c r="S83" s="41"/>
    </row>
    <row r="84" spans="1:19" s="15" customFormat="1" ht="26.25" customHeight="1" x14ac:dyDescent="0.2">
      <c r="A84" s="43" t="s">
        <v>276</v>
      </c>
      <c r="B84" s="46" t="s">
        <v>94</v>
      </c>
      <c r="C84" s="44" t="s">
        <v>289</v>
      </c>
      <c r="D84" s="34">
        <v>7062</v>
      </c>
      <c r="E84" s="46" t="s">
        <v>305</v>
      </c>
      <c r="F84" s="35">
        <v>49500</v>
      </c>
      <c r="G84" s="40">
        <v>49500</v>
      </c>
      <c r="H84" s="35">
        <v>0</v>
      </c>
      <c r="I84" s="35">
        <f t="shared" si="16"/>
        <v>49500</v>
      </c>
      <c r="J84" s="36">
        <f t="shared" si="17"/>
        <v>0</v>
      </c>
      <c r="K84" s="48" t="s">
        <v>83</v>
      </c>
      <c r="L84" s="48" t="s">
        <v>83</v>
      </c>
      <c r="M84" s="38">
        <v>41881</v>
      </c>
      <c r="N84" s="48"/>
      <c r="O84" s="35">
        <v>49500</v>
      </c>
      <c r="P84" s="35"/>
      <c r="Q84" s="35"/>
      <c r="R84" s="35"/>
      <c r="S84" s="41"/>
    </row>
    <row r="85" spans="1:19" s="15" customFormat="1" ht="26.25" customHeight="1" x14ac:dyDescent="0.2">
      <c r="A85" s="43" t="s">
        <v>277</v>
      </c>
      <c r="B85" s="46" t="s">
        <v>46</v>
      </c>
      <c r="C85" s="44" t="s">
        <v>290</v>
      </c>
      <c r="D85" s="34">
        <v>7069</v>
      </c>
      <c r="E85" s="46" t="s">
        <v>306</v>
      </c>
      <c r="F85" s="35">
        <v>39500</v>
      </c>
      <c r="G85" s="40">
        <v>39500</v>
      </c>
      <c r="H85" s="35">
        <v>0</v>
      </c>
      <c r="I85" s="35">
        <f t="shared" si="16"/>
        <v>39500</v>
      </c>
      <c r="J85" s="36">
        <f t="shared" si="17"/>
        <v>0</v>
      </c>
      <c r="K85" s="48" t="s">
        <v>83</v>
      </c>
      <c r="L85" s="48" t="s">
        <v>83</v>
      </c>
      <c r="M85" s="38">
        <v>41820</v>
      </c>
      <c r="N85" s="48"/>
      <c r="O85" s="35">
        <v>39500</v>
      </c>
      <c r="P85" s="35"/>
      <c r="Q85" s="35"/>
      <c r="R85" s="35"/>
      <c r="S85" s="41"/>
    </row>
    <row r="86" spans="1:19" s="15" customFormat="1" ht="26.25" customHeight="1" x14ac:dyDescent="0.2">
      <c r="A86" s="43" t="s">
        <v>278</v>
      </c>
      <c r="B86" s="46" t="s">
        <v>39</v>
      </c>
      <c r="C86" s="44" t="s">
        <v>177</v>
      </c>
      <c r="D86" s="34">
        <v>7124</v>
      </c>
      <c r="E86" s="46" t="s">
        <v>307</v>
      </c>
      <c r="F86" s="35">
        <v>5941</v>
      </c>
      <c r="G86" s="40">
        <v>5941</v>
      </c>
      <c r="H86" s="35">
        <v>0</v>
      </c>
      <c r="I86" s="35">
        <f t="shared" si="16"/>
        <v>5941</v>
      </c>
      <c r="J86" s="36">
        <f t="shared" si="17"/>
        <v>0</v>
      </c>
      <c r="K86" s="48" t="s">
        <v>83</v>
      </c>
      <c r="L86" s="48" t="s">
        <v>83</v>
      </c>
      <c r="M86" s="38">
        <v>41488</v>
      </c>
      <c r="N86" s="48"/>
      <c r="O86" s="35">
        <v>5941</v>
      </c>
      <c r="P86" s="35"/>
      <c r="Q86" s="35"/>
      <c r="R86" s="35"/>
      <c r="S86" s="41"/>
    </row>
    <row r="87" spans="1:19" s="15" customFormat="1" ht="26.25" customHeight="1" x14ac:dyDescent="0.2">
      <c r="A87" s="43" t="s">
        <v>308</v>
      </c>
      <c r="B87" s="46" t="s">
        <v>315</v>
      </c>
      <c r="C87" s="44" t="s">
        <v>317</v>
      </c>
      <c r="D87" s="47" t="s">
        <v>323</v>
      </c>
      <c r="E87" s="46" t="s">
        <v>324</v>
      </c>
      <c r="F87" s="35">
        <v>99000</v>
      </c>
      <c r="G87" s="40">
        <v>50000</v>
      </c>
      <c r="H87" s="35">
        <f>49000+99000+188000+99000</f>
        <v>435000</v>
      </c>
      <c r="I87" s="35">
        <f t="shared" ref="I87:I98" si="18">G87+H87</f>
        <v>485000</v>
      </c>
      <c r="J87" s="36">
        <f t="shared" ref="J87:J98" si="19">IF(G87=0,100%,(I87-G87)/G87)</f>
        <v>8.6999999999999993</v>
      </c>
      <c r="K87" s="48" t="s">
        <v>83</v>
      </c>
      <c r="L87" s="48" t="s">
        <v>83</v>
      </c>
      <c r="M87" s="52" t="s">
        <v>331</v>
      </c>
      <c r="N87" s="48" t="s">
        <v>86</v>
      </c>
      <c r="O87" s="35">
        <v>99000</v>
      </c>
      <c r="P87" s="35"/>
      <c r="Q87" s="35"/>
      <c r="R87" s="35"/>
      <c r="S87" s="41"/>
    </row>
    <row r="88" spans="1:19" s="15" customFormat="1" ht="18" customHeight="1" x14ac:dyDescent="0.2">
      <c r="A88" s="43" t="s">
        <v>309</v>
      </c>
      <c r="B88" s="46" t="s">
        <v>46</v>
      </c>
      <c r="C88" s="44" t="s">
        <v>318</v>
      </c>
      <c r="D88" s="47">
        <v>6988</v>
      </c>
      <c r="E88" s="46" t="s">
        <v>325</v>
      </c>
      <c r="F88" s="35">
        <v>86064</v>
      </c>
      <c r="G88" s="40">
        <v>86064</v>
      </c>
      <c r="H88" s="35"/>
      <c r="I88" s="35">
        <f t="shared" si="18"/>
        <v>86064</v>
      </c>
      <c r="J88" s="36">
        <f t="shared" si="19"/>
        <v>0</v>
      </c>
      <c r="K88" s="48" t="s">
        <v>83</v>
      </c>
      <c r="L88" s="48" t="s">
        <v>85</v>
      </c>
      <c r="M88" s="38">
        <v>43386</v>
      </c>
      <c r="N88" s="48"/>
      <c r="O88" s="35">
        <v>86064</v>
      </c>
      <c r="P88" s="35"/>
      <c r="Q88" s="35"/>
      <c r="R88" s="35"/>
      <c r="S88" s="41"/>
    </row>
    <row r="89" spans="1:19" s="15" customFormat="1" ht="18" customHeight="1" x14ac:dyDescent="0.2">
      <c r="A89" s="43" t="s">
        <v>310</v>
      </c>
      <c r="B89" s="46" t="s">
        <v>159</v>
      </c>
      <c r="C89" s="44" t="s">
        <v>319</v>
      </c>
      <c r="D89" s="34">
        <v>7021</v>
      </c>
      <c r="E89" s="46" t="s">
        <v>326</v>
      </c>
      <c r="F89" s="35">
        <v>99000</v>
      </c>
      <c r="G89" s="40">
        <v>99000</v>
      </c>
      <c r="H89" s="35">
        <v>0</v>
      </c>
      <c r="I89" s="35">
        <f t="shared" si="18"/>
        <v>99000</v>
      </c>
      <c r="J89" s="36">
        <f t="shared" si="19"/>
        <v>0</v>
      </c>
      <c r="K89" s="48" t="s">
        <v>83</v>
      </c>
      <c r="L89" s="48" t="s">
        <v>83</v>
      </c>
      <c r="M89" s="38">
        <v>41820</v>
      </c>
      <c r="N89" s="48"/>
      <c r="O89" s="35">
        <v>99000</v>
      </c>
      <c r="P89" s="35"/>
      <c r="Q89" s="49"/>
      <c r="R89" s="49"/>
      <c r="S89" s="41"/>
    </row>
    <row r="90" spans="1:19" s="15" customFormat="1" ht="26.25" customHeight="1" x14ac:dyDescent="0.2">
      <c r="A90" s="43" t="s">
        <v>311</v>
      </c>
      <c r="B90" s="46" t="s">
        <v>125</v>
      </c>
      <c r="C90" s="44" t="s">
        <v>134</v>
      </c>
      <c r="D90" s="34">
        <v>7022</v>
      </c>
      <c r="E90" s="46" t="s">
        <v>327</v>
      </c>
      <c r="F90" s="35">
        <v>62401</v>
      </c>
      <c r="G90" s="40">
        <v>62401</v>
      </c>
      <c r="H90" s="35">
        <v>0</v>
      </c>
      <c r="I90" s="35">
        <f t="shared" si="18"/>
        <v>62401</v>
      </c>
      <c r="J90" s="36">
        <f t="shared" si="19"/>
        <v>0</v>
      </c>
      <c r="K90" s="48" t="s">
        <v>83</v>
      </c>
      <c r="L90" s="48" t="s">
        <v>85</v>
      </c>
      <c r="M90" s="38">
        <v>42990</v>
      </c>
      <c r="N90" s="48"/>
      <c r="O90" s="35">
        <v>62401</v>
      </c>
      <c r="P90" s="35"/>
      <c r="Q90" s="35"/>
      <c r="R90" s="35"/>
      <c r="S90" s="41"/>
    </row>
    <row r="91" spans="1:19" s="15" customFormat="1" ht="26.25" customHeight="1" x14ac:dyDescent="0.2">
      <c r="A91" s="43" t="s">
        <v>312</v>
      </c>
      <c r="B91" s="46" t="s">
        <v>159</v>
      </c>
      <c r="C91" s="44" t="s">
        <v>320</v>
      </c>
      <c r="D91" s="34">
        <v>7032</v>
      </c>
      <c r="E91" s="46" t="s">
        <v>330</v>
      </c>
      <c r="F91" s="35">
        <v>56715</v>
      </c>
      <c r="G91" s="40">
        <v>86640</v>
      </c>
      <c r="H91" s="35">
        <v>56715</v>
      </c>
      <c r="I91" s="35">
        <f t="shared" si="18"/>
        <v>143355</v>
      </c>
      <c r="J91" s="36">
        <f t="shared" si="19"/>
        <v>0.65460526315789469</v>
      </c>
      <c r="K91" s="48" t="s">
        <v>83</v>
      </c>
      <c r="L91" s="48" t="s">
        <v>83</v>
      </c>
      <c r="M91" s="38">
        <v>41820</v>
      </c>
      <c r="N91" s="48" t="s">
        <v>86</v>
      </c>
      <c r="O91" s="35">
        <v>56715</v>
      </c>
      <c r="P91" s="35"/>
      <c r="Q91" s="35"/>
      <c r="R91" s="35"/>
      <c r="S91" s="41"/>
    </row>
    <row r="92" spans="1:19" s="15" customFormat="1" ht="26.25" customHeight="1" x14ac:dyDescent="0.2">
      <c r="A92" s="43" t="s">
        <v>313</v>
      </c>
      <c r="B92" s="46" t="s">
        <v>316</v>
      </c>
      <c r="C92" s="44" t="s">
        <v>321</v>
      </c>
      <c r="D92" s="34">
        <v>7087</v>
      </c>
      <c r="E92" s="46" t="s">
        <v>328</v>
      </c>
      <c r="F92" s="35">
        <f>94900*2</f>
        <v>189800</v>
      </c>
      <c r="G92" s="35">
        <f>94900*2</f>
        <v>189800</v>
      </c>
      <c r="H92" s="35">
        <v>0</v>
      </c>
      <c r="I92" s="35">
        <f t="shared" si="18"/>
        <v>189800</v>
      </c>
      <c r="J92" s="36">
        <f t="shared" si="19"/>
        <v>0</v>
      </c>
      <c r="K92" s="48" t="s">
        <v>83</v>
      </c>
      <c r="L92" s="48" t="s">
        <v>83</v>
      </c>
      <c r="M92" s="38">
        <v>41820</v>
      </c>
      <c r="N92" s="48" t="s">
        <v>84</v>
      </c>
      <c r="O92" s="35">
        <v>94900</v>
      </c>
      <c r="P92" s="35">
        <v>94900</v>
      </c>
      <c r="Q92" s="35"/>
      <c r="R92" s="35"/>
      <c r="S92" s="41"/>
    </row>
    <row r="93" spans="1:19" s="15" customFormat="1" ht="26.25" customHeight="1" x14ac:dyDescent="0.2">
      <c r="A93" s="43" t="s">
        <v>314</v>
      </c>
      <c r="B93" s="46" t="s">
        <v>159</v>
      </c>
      <c r="C93" s="44" t="s">
        <v>322</v>
      </c>
      <c r="D93" s="47">
        <v>7110</v>
      </c>
      <c r="E93" s="46" t="s">
        <v>329</v>
      </c>
      <c r="F93" s="35">
        <v>99000</v>
      </c>
      <c r="G93" s="40">
        <v>99000</v>
      </c>
      <c r="H93" s="35">
        <v>0</v>
      </c>
      <c r="I93" s="35">
        <f t="shared" si="18"/>
        <v>99000</v>
      </c>
      <c r="J93" s="36">
        <f t="shared" si="19"/>
        <v>0</v>
      </c>
      <c r="K93" s="48" t="s">
        <v>83</v>
      </c>
      <c r="L93" s="48" t="s">
        <v>83</v>
      </c>
      <c r="M93" s="38">
        <v>41804</v>
      </c>
      <c r="N93" s="48"/>
      <c r="O93" s="35">
        <v>99000</v>
      </c>
      <c r="P93" s="35"/>
      <c r="Q93" s="35"/>
      <c r="R93" s="35"/>
      <c r="S93" s="41"/>
    </row>
    <row r="94" spans="1:19" s="15" customFormat="1" ht="38.25" customHeight="1" x14ac:dyDescent="0.2">
      <c r="A94" s="43" t="s">
        <v>332</v>
      </c>
      <c r="B94" s="46" t="s">
        <v>47</v>
      </c>
      <c r="C94" s="44" t="s">
        <v>339</v>
      </c>
      <c r="D94" s="47">
        <v>7165</v>
      </c>
      <c r="E94" s="46" t="s">
        <v>336</v>
      </c>
      <c r="F94" s="35">
        <v>99000</v>
      </c>
      <c r="G94" s="40">
        <v>99000</v>
      </c>
      <c r="H94" s="35">
        <v>0</v>
      </c>
      <c r="I94" s="35">
        <f t="shared" si="18"/>
        <v>99000</v>
      </c>
      <c r="J94" s="36">
        <f t="shared" si="19"/>
        <v>0</v>
      </c>
      <c r="K94" s="48" t="s">
        <v>83</v>
      </c>
      <c r="L94" s="48" t="s">
        <v>83</v>
      </c>
      <c r="M94" s="38">
        <v>41820</v>
      </c>
      <c r="N94" s="48"/>
      <c r="O94" s="35">
        <v>99000</v>
      </c>
      <c r="P94" s="35"/>
      <c r="Q94" s="35"/>
      <c r="R94" s="35"/>
      <c r="S94" s="41"/>
    </row>
    <row r="95" spans="1:19" s="15" customFormat="1" ht="26.25" customHeight="1" x14ac:dyDescent="0.2">
      <c r="A95" s="43" t="s">
        <v>333</v>
      </c>
      <c r="B95" s="46" t="s">
        <v>47</v>
      </c>
      <c r="C95" s="44" t="s">
        <v>340</v>
      </c>
      <c r="D95" s="47">
        <v>7263</v>
      </c>
      <c r="E95" s="46" t="s">
        <v>337</v>
      </c>
      <c r="F95" s="35">
        <v>50000</v>
      </c>
      <c r="G95" s="40">
        <v>50000</v>
      </c>
      <c r="H95" s="35">
        <v>0</v>
      </c>
      <c r="I95" s="35">
        <f t="shared" si="18"/>
        <v>50000</v>
      </c>
      <c r="J95" s="36">
        <f t="shared" si="19"/>
        <v>0</v>
      </c>
      <c r="K95" s="48" t="s">
        <v>83</v>
      </c>
      <c r="L95" s="48" t="s">
        <v>83</v>
      </c>
      <c r="M95" s="38">
        <v>41820</v>
      </c>
      <c r="N95" s="48"/>
      <c r="O95" s="35">
        <v>50000</v>
      </c>
      <c r="P95" s="35"/>
      <c r="Q95" s="35"/>
      <c r="R95" s="35"/>
      <c r="S95" s="41"/>
    </row>
    <row r="96" spans="1:19" s="15" customFormat="1" ht="26.25" customHeight="1" x14ac:dyDescent="0.2">
      <c r="A96" s="43" t="s">
        <v>334</v>
      </c>
      <c r="B96" s="46" t="s">
        <v>47</v>
      </c>
      <c r="C96" s="44" t="s">
        <v>341</v>
      </c>
      <c r="D96" s="47">
        <v>7240</v>
      </c>
      <c r="E96" s="46" t="s">
        <v>337</v>
      </c>
      <c r="F96" s="35">
        <v>50000</v>
      </c>
      <c r="G96" s="40">
        <v>50000</v>
      </c>
      <c r="H96" s="35">
        <v>0</v>
      </c>
      <c r="I96" s="35">
        <f t="shared" si="18"/>
        <v>50000</v>
      </c>
      <c r="J96" s="36">
        <f t="shared" si="19"/>
        <v>0</v>
      </c>
      <c r="K96" s="48" t="s">
        <v>83</v>
      </c>
      <c r="L96" s="48" t="s">
        <v>83</v>
      </c>
      <c r="M96" s="38">
        <v>41820</v>
      </c>
      <c r="N96" s="48"/>
      <c r="O96" s="35">
        <v>50000</v>
      </c>
      <c r="P96" s="35"/>
      <c r="Q96" s="35"/>
      <c r="R96" s="35"/>
      <c r="S96" s="41"/>
    </row>
    <row r="97" spans="1:19" s="15" customFormat="1" ht="26.25" customHeight="1" x14ac:dyDescent="0.2">
      <c r="A97" s="43" t="s">
        <v>335</v>
      </c>
      <c r="B97" s="46" t="s">
        <v>47</v>
      </c>
      <c r="C97" s="44" t="s">
        <v>342</v>
      </c>
      <c r="D97" s="47">
        <v>7170</v>
      </c>
      <c r="E97" s="46" t="s">
        <v>338</v>
      </c>
      <c r="F97" s="35">
        <v>50000</v>
      </c>
      <c r="G97" s="40">
        <v>50000</v>
      </c>
      <c r="H97" s="35">
        <v>0</v>
      </c>
      <c r="I97" s="35">
        <f t="shared" si="18"/>
        <v>50000</v>
      </c>
      <c r="J97" s="36">
        <f t="shared" si="19"/>
        <v>0</v>
      </c>
      <c r="K97" s="48" t="s">
        <v>83</v>
      </c>
      <c r="L97" s="48" t="s">
        <v>83</v>
      </c>
      <c r="M97" s="38">
        <v>41820</v>
      </c>
      <c r="N97" s="48"/>
      <c r="O97" s="35">
        <v>50000</v>
      </c>
      <c r="P97" s="35"/>
      <c r="Q97" s="35"/>
      <c r="R97" s="35"/>
      <c r="S97" s="41"/>
    </row>
    <row r="98" spans="1:19" s="15" customFormat="1" ht="38.25" customHeight="1" x14ac:dyDescent="0.2">
      <c r="A98" s="43" t="s">
        <v>343</v>
      </c>
      <c r="B98" s="46" t="s">
        <v>47</v>
      </c>
      <c r="C98" s="44" t="s">
        <v>368</v>
      </c>
      <c r="D98" s="47">
        <v>7268</v>
      </c>
      <c r="E98" s="46" t="s">
        <v>394</v>
      </c>
      <c r="F98" s="35">
        <v>25000</v>
      </c>
      <c r="G98" s="40">
        <v>25000</v>
      </c>
      <c r="H98" s="35">
        <v>0</v>
      </c>
      <c r="I98" s="35">
        <f t="shared" si="18"/>
        <v>25000</v>
      </c>
      <c r="J98" s="36">
        <f t="shared" si="19"/>
        <v>0</v>
      </c>
      <c r="K98" s="48" t="s">
        <v>83</v>
      </c>
      <c r="L98" s="48" t="s">
        <v>83</v>
      </c>
      <c r="M98" s="38">
        <v>41820</v>
      </c>
      <c r="N98" s="48"/>
      <c r="O98" s="35">
        <v>25000</v>
      </c>
      <c r="P98" s="35"/>
      <c r="Q98" s="35"/>
      <c r="R98" s="35"/>
      <c r="S98" s="41"/>
    </row>
    <row r="99" spans="1:19" s="15" customFormat="1" ht="38.25" customHeight="1" x14ac:dyDescent="0.2">
      <c r="A99" s="43" t="s">
        <v>344</v>
      </c>
      <c r="B99" s="46" t="s">
        <v>47</v>
      </c>
      <c r="C99" s="44" t="s">
        <v>369</v>
      </c>
      <c r="D99" s="47">
        <v>7171</v>
      </c>
      <c r="E99" s="46" t="s">
        <v>387</v>
      </c>
      <c r="F99" s="35">
        <v>25000</v>
      </c>
      <c r="G99" s="40">
        <v>25000</v>
      </c>
      <c r="H99" s="35">
        <v>0</v>
      </c>
      <c r="I99" s="35">
        <f t="shared" ref="I99:I121" si="20">G99+H99</f>
        <v>25000</v>
      </c>
      <c r="J99" s="36">
        <f t="shared" ref="J99:J121" si="21">IF(G99=0,100%,(I99-G99)/G99)</f>
        <v>0</v>
      </c>
      <c r="K99" s="48" t="s">
        <v>83</v>
      </c>
      <c r="L99" s="48" t="s">
        <v>83</v>
      </c>
      <c r="M99" s="38">
        <v>41820</v>
      </c>
      <c r="N99" s="48"/>
      <c r="O99" s="35">
        <v>25000</v>
      </c>
      <c r="P99" s="35"/>
      <c r="Q99" s="35"/>
      <c r="R99" s="35"/>
      <c r="S99" s="41"/>
    </row>
    <row r="100" spans="1:19" s="15" customFormat="1" ht="38.25" customHeight="1" x14ac:dyDescent="0.2">
      <c r="A100" s="43" t="s">
        <v>345</v>
      </c>
      <c r="B100" s="46" t="s">
        <v>47</v>
      </c>
      <c r="C100" s="44" t="s">
        <v>370</v>
      </c>
      <c r="D100" s="47">
        <v>7248</v>
      </c>
      <c r="E100" s="46" t="s">
        <v>393</v>
      </c>
      <c r="F100" s="35">
        <v>15000</v>
      </c>
      <c r="G100" s="40">
        <v>15000</v>
      </c>
      <c r="H100" s="35">
        <v>0</v>
      </c>
      <c r="I100" s="35">
        <f t="shared" si="20"/>
        <v>15000</v>
      </c>
      <c r="J100" s="36">
        <f t="shared" si="21"/>
        <v>0</v>
      </c>
      <c r="K100" s="48" t="s">
        <v>83</v>
      </c>
      <c r="L100" s="48" t="s">
        <v>83</v>
      </c>
      <c r="M100" s="38">
        <v>41820</v>
      </c>
      <c r="N100" s="48"/>
      <c r="O100" s="35">
        <v>15000</v>
      </c>
      <c r="P100" s="35"/>
      <c r="Q100" s="35"/>
      <c r="R100" s="35"/>
      <c r="S100" s="41"/>
    </row>
    <row r="101" spans="1:19" s="15" customFormat="1" ht="26.25" customHeight="1" x14ac:dyDescent="0.2">
      <c r="A101" s="43" t="s">
        <v>346</v>
      </c>
      <c r="B101" s="46" t="s">
        <v>47</v>
      </c>
      <c r="C101" s="44" t="s">
        <v>370</v>
      </c>
      <c r="D101" s="47">
        <v>7247</v>
      </c>
      <c r="E101" s="46" t="s">
        <v>338</v>
      </c>
      <c r="F101" s="35">
        <v>15000</v>
      </c>
      <c r="G101" s="40">
        <v>15000</v>
      </c>
      <c r="H101" s="35">
        <v>0</v>
      </c>
      <c r="I101" s="35">
        <f t="shared" si="20"/>
        <v>15000</v>
      </c>
      <c r="J101" s="36">
        <f t="shared" si="21"/>
        <v>0</v>
      </c>
      <c r="K101" s="48" t="s">
        <v>83</v>
      </c>
      <c r="L101" s="48" t="s">
        <v>83</v>
      </c>
      <c r="M101" s="38">
        <v>41820</v>
      </c>
      <c r="N101" s="48"/>
      <c r="O101" s="35">
        <v>15000</v>
      </c>
      <c r="P101" s="35"/>
      <c r="Q101" s="35"/>
      <c r="R101" s="35"/>
      <c r="S101" s="41"/>
    </row>
    <row r="102" spans="1:19" s="15" customFormat="1" ht="26.25" customHeight="1" x14ac:dyDescent="0.2">
      <c r="A102" s="43" t="s">
        <v>347</v>
      </c>
      <c r="B102" s="46" t="s">
        <v>47</v>
      </c>
      <c r="C102" s="44" t="s">
        <v>371</v>
      </c>
      <c r="D102" s="47">
        <v>7269</v>
      </c>
      <c r="E102" s="46" t="s">
        <v>338</v>
      </c>
      <c r="F102" s="35">
        <v>25000</v>
      </c>
      <c r="G102" s="40">
        <v>25000</v>
      </c>
      <c r="H102" s="35">
        <v>0</v>
      </c>
      <c r="I102" s="35">
        <f t="shared" si="20"/>
        <v>25000</v>
      </c>
      <c r="J102" s="36">
        <f t="shared" si="21"/>
        <v>0</v>
      </c>
      <c r="K102" s="48" t="s">
        <v>83</v>
      </c>
      <c r="L102" s="48" t="s">
        <v>83</v>
      </c>
      <c r="M102" s="38">
        <v>41820</v>
      </c>
      <c r="N102" s="48"/>
      <c r="O102" s="35">
        <v>25000</v>
      </c>
      <c r="P102" s="35"/>
      <c r="Q102" s="35"/>
      <c r="R102" s="35"/>
      <c r="S102" s="41"/>
    </row>
    <row r="103" spans="1:19" s="15" customFormat="1" ht="26.25" customHeight="1" x14ac:dyDescent="0.2">
      <c r="A103" s="43" t="s">
        <v>348</v>
      </c>
      <c r="B103" s="46" t="s">
        <v>47</v>
      </c>
      <c r="C103" s="44" t="s">
        <v>372</v>
      </c>
      <c r="D103" s="47">
        <v>7267</v>
      </c>
      <c r="E103" s="46" t="s">
        <v>389</v>
      </c>
      <c r="F103" s="35">
        <v>20000</v>
      </c>
      <c r="G103" s="40">
        <v>20000</v>
      </c>
      <c r="H103" s="35">
        <v>0</v>
      </c>
      <c r="I103" s="35">
        <f t="shared" si="20"/>
        <v>20000</v>
      </c>
      <c r="J103" s="36">
        <f t="shared" si="21"/>
        <v>0</v>
      </c>
      <c r="K103" s="48" t="s">
        <v>83</v>
      </c>
      <c r="L103" s="48" t="s">
        <v>83</v>
      </c>
      <c r="M103" s="38">
        <v>41820</v>
      </c>
      <c r="N103" s="48"/>
      <c r="O103" s="35">
        <v>20000</v>
      </c>
      <c r="P103" s="35"/>
      <c r="Q103" s="35"/>
      <c r="R103" s="35"/>
      <c r="S103" s="41"/>
    </row>
    <row r="104" spans="1:19" s="15" customFormat="1" ht="26.25" customHeight="1" x14ac:dyDescent="0.2">
      <c r="A104" s="43" t="s">
        <v>349</v>
      </c>
      <c r="B104" s="46" t="s">
        <v>47</v>
      </c>
      <c r="C104" s="44" t="s">
        <v>373</v>
      </c>
      <c r="D104" s="47">
        <v>7266</v>
      </c>
      <c r="E104" s="46" t="s">
        <v>337</v>
      </c>
      <c r="F104" s="35">
        <v>15000</v>
      </c>
      <c r="G104" s="40">
        <v>15000</v>
      </c>
      <c r="H104" s="35">
        <v>0</v>
      </c>
      <c r="I104" s="35">
        <f t="shared" si="20"/>
        <v>15000</v>
      </c>
      <c r="J104" s="36">
        <f t="shared" si="21"/>
        <v>0</v>
      </c>
      <c r="K104" s="48" t="s">
        <v>83</v>
      </c>
      <c r="L104" s="48" t="s">
        <v>83</v>
      </c>
      <c r="M104" s="38">
        <v>41820</v>
      </c>
      <c r="N104" s="48"/>
      <c r="O104" s="35">
        <v>15000</v>
      </c>
      <c r="P104" s="35"/>
      <c r="Q104" s="35"/>
      <c r="R104" s="35"/>
      <c r="S104" s="41"/>
    </row>
    <row r="105" spans="1:19" s="15" customFormat="1" ht="26.25" customHeight="1" x14ac:dyDescent="0.2">
      <c r="A105" s="43" t="s">
        <v>350</v>
      </c>
      <c r="B105" s="46" t="s">
        <v>47</v>
      </c>
      <c r="C105" s="44" t="s">
        <v>374</v>
      </c>
      <c r="D105" s="47">
        <v>7265</v>
      </c>
      <c r="E105" s="46" t="s">
        <v>338</v>
      </c>
      <c r="F105" s="35">
        <v>20000</v>
      </c>
      <c r="G105" s="40">
        <v>20000</v>
      </c>
      <c r="H105" s="35">
        <v>0</v>
      </c>
      <c r="I105" s="35">
        <f t="shared" si="20"/>
        <v>20000</v>
      </c>
      <c r="J105" s="36">
        <f t="shared" si="21"/>
        <v>0</v>
      </c>
      <c r="K105" s="48" t="s">
        <v>83</v>
      </c>
      <c r="L105" s="48" t="s">
        <v>83</v>
      </c>
      <c r="M105" s="38">
        <v>41820</v>
      </c>
      <c r="N105" s="48"/>
      <c r="O105" s="35">
        <v>20000</v>
      </c>
      <c r="P105" s="35"/>
      <c r="Q105" s="35"/>
      <c r="R105" s="35"/>
      <c r="S105" s="41"/>
    </row>
    <row r="106" spans="1:19" s="15" customFormat="1" ht="26.25" customHeight="1" x14ac:dyDescent="0.2">
      <c r="A106" s="43" t="s">
        <v>351</v>
      </c>
      <c r="B106" s="46" t="s">
        <v>47</v>
      </c>
      <c r="C106" s="44" t="s">
        <v>375</v>
      </c>
      <c r="D106" s="47">
        <v>7264</v>
      </c>
      <c r="E106" s="46" t="s">
        <v>338</v>
      </c>
      <c r="F106" s="35">
        <v>20000</v>
      </c>
      <c r="G106" s="40">
        <v>20000</v>
      </c>
      <c r="H106" s="35">
        <v>0</v>
      </c>
      <c r="I106" s="35">
        <f t="shared" si="20"/>
        <v>20000</v>
      </c>
      <c r="J106" s="36">
        <f t="shared" si="21"/>
        <v>0</v>
      </c>
      <c r="K106" s="48" t="s">
        <v>83</v>
      </c>
      <c r="L106" s="48" t="s">
        <v>83</v>
      </c>
      <c r="M106" s="38">
        <v>41820</v>
      </c>
      <c r="N106" s="48"/>
      <c r="O106" s="35">
        <v>20000</v>
      </c>
      <c r="P106" s="35"/>
      <c r="Q106" s="35"/>
      <c r="R106" s="35"/>
      <c r="S106" s="41"/>
    </row>
    <row r="107" spans="1:19" s="15" customFormat="1" ht="38.25" customHeight="1" x14ac:dyDescent="0.2">
      <c r="A107" s="43" t="s">
        <v>352</v>
      </c>
      <c r="B107" s="46" t="s">
        <v>47</v>
      </c>
      <c r="C107" s="44" t="s">
        <v>376</v>
      </c>
      <c r="D107" s="47">
        <v>7262</v>
      </c>
      <c r="E107" s="46" t="s">
        <v>391</v>
      </c>
      <c r="F107" s="35">
        <v>20000</v>
      </c>
      <c r="G107" s="40">
        <v>20000</v>
      </c>
      <c r="H107" s="35">
        <v>0</v>
      </c>
      <c r="I107" s="35">
        <f t="shared" si="20"/>
        <v>20000</v>
      </c>
      <c r="J107" s="36">
        <f t="shared" si="21"/>
        <v>0</v>
      </c>
      <c r="K107" s="48" t="s">
        <v>83</v>
      </c>
      <c r="L107" s="48" t="s">
        <v>83</v>
      </c>
      <c r="M107" s="38">
        <v>41820</v>
      </c>
      <c r="N107" s="48"/>
      <c r="O107" s="35">
        <v>20000</v>
      </c>
      <c r="P107" s="35"/>
      <c r="Q107" s="35"/>
      <c r="R107" s="35"/>
      <c r="S107" s="41"/>
    </row>
    <row r="108" spans="1:19" s="15" customFormat="1" ht="38.25" customHeight="1" x14ac:dyDescent="0.2">
      <c r="A108" s="43" t="s">
        <v>353</v>
      </c>
      <c r="B108" s="46" t="s">
        <v>47</v>
      </c>
      <c r="C108" s="44" t="s">
        <v>376</v>
      </c>
      <c r="D108" s="47">
        <v>7261</v>
      </c>
      <c r="E108" s="46" t="s">
        <v>392</v>
      </c>
      <c r="F108" s="35">
        <v>15000</v>
      </c>
      <c r="G108" s="40">
        <v>15000</v>
      </c>
      <c r="H108" s="35">
        <v>0</v>
      </c>
      <c r="I108" s="35">
        <f t="shared" si="20"/>
        <v>15000</v>
      </c>
      <c r="J108" s="36">
        <f t="shared" si="21"/>
        <v>0</v>
      </c>
      <c r="K108" s="48" t="s">
        <v>83</v>
      </c>
      <c r="L108" s="48" t="s">
        <v>83</v>
      </c>
      <c r="M108" s="38">
        <v>41820</v>
      </c>
      <c r="N108" s="48"/>
      <c r="O108" s="35">
        <v>15000</v>
      </c>
      <c r="P108" s="35"/>
      <c r="Q108" s="35"/>
      <c r="R108" s="35"/>
      <c r="S108" s="41"/>
    </row>
    <row r="109" spans="1:19" s="15" customFormat="1" ht="26.25" customHeight="1" x14ac:dyDescent="0.2">
      <c r="A109" s="43" t="s">
        <v>354</v>
      </c>
      <c r="B109" s="46" t="s">
        <v>47</v>
      </c>
      <c r="C109" s="44" t="s">
        <v>376</v>
      </c>
      <c r="D109" s="47">
        <v>7260</v>
      </c>
      <c r="E109" s="46" t="s">
        <v>337</v>
      </c>
      <c r="F109" s="35">
        <v>20000</v>
      </c>
      <c r="G109" s="40">
        <v>20000</v>
      </c>
      <c r="H109" s="35">
        <v>0</v>
      </c>
      <c r="I109" s="35">
        <f t="shared" si="20"/>
        <v>20000</v>
      </c>
      <c r="J109" s="36">
        <f t="shared" si="21"/>
        <v>0</v>
      </c>
      <c r="K109" s="48" t="s">
        <v>83</v>
      </c>
      <c r="L109" s="48" t="s">
        <v>83</v>
      </c>
      <c r="M109" s="38">
        <v>41820</v>
      </c>
      <c r="N109" s="48"/>
      <c r="O109" s="35">
        <v>20000</v>
      </c>
      <c r="P109" s="35"/>
      <c r="Q109" s="35"/>
      <c r="R109" s="35"/>
      <c r="S109" s="41"/>
    </row>
    <row r="110" spans="1:19" s="15" customFormat="1" ht="26.25" customHeight="1" x14ac:dyDescent="0.2">
      <c r="A110" s="43" t="s">
        <v>355</v>
      </c>
      <c r="B110" s="46" t="s">
        <v>47</v>
      </c>
      <c r="C110" s="44" t="s">
        <v>377</v>
      </c>
      <c r="D110" s="47">
        <v>7259</v>
      </c>
      <c r="E110" s="46" t="s">
        <v>338</v>
      </c>
      <c r="F110" s="35">
        <v>25000</v>
      </c>
      <c r="G110" s="40">
        <v>25000</v>
      </c>
      <c r="H110" s="35">
        <v>0</v>
      </c>
      <c r="I110" s="35">
        <f t="shared" si="20"/>
        <v>25000</v>
      </c>
      <c r="J110" s="36">
        <f t="shared" si="21"/>
        <v>0</v>
      </c>
      <c r="K110" s="48" t="s">
        <v>83</v>
      </c>
      <c r="L110" s="48" t="s">
        <v>83</v>
      </c>
      <c r="M110" s="38">
        <v>41820</v>
      </c>
      <c r="N110" s="48"/>
      <c r="O110" s="35">
        <v>25000</v>
      </c>
      <c r="P110" s="35"/>
      <c r="Q110" s="35"/>
      <c r="R110" s="35"/>
      <c r="S110" s="41"/>
    </row>
    <row r="111" spans="1:19" s="15" customFormat="1" ht="26.25" customHeight="1" x14ac:dyDescent="0.2">
      <c r="A111" s="43" t="s">
        <v>356</v>
      </c>
      <c r="B111" s="46" t="s">
        <v>47</v>
      </c>
      <c r="C111" s="44" t="s">
        <v>378</v>
      </c>
      <c r="D111" s="47">
        <v>7246</v>
      </c>
      <c r="E111" s="46" t="s">
        <v>338</v>
      </c>
      <c r="F111" s="35">
        <v>20000</v>
      </c>
      <c r="G111" s="40">
        <v>20000</v>
      </c>
      <c r="H111" s="35">
        <v>0</v>
      </c>
      <c r="I111" s="35">
        <f t="shared" si="20"/>
        <v>20000</v>
      </c>
      <c r="J111" s="36">
        <f t="shared" si="21"/>
        <v>0</v>
      </c>
      <c r="K111" s="48" t="s">
        <v>83</v>
      </c>
      <c r="L111" s="48" t="s">
        <v>83</v>
      </c>
      <c r="M111" s="38">
        <v>41820</v>
      </c>
      <c r="N111" s="48"/>
      <c r="O111" s="35">
        <v>20000</v>
      </c>
      <c r="P111" s="35"/>
      <c r="Q111" s="35"/>
      <c r="R111" s="35"/>
      <c r="S111" s="41"/>
    </row>
    <row r="112" spans="1:19" s="15" customFormat="1" ht="26.25" customHeight="1" x14ac:dyDescent="0.2">
      <c r="A112" s="43" t="s">
        <v>357</v>
      </c>
      <c r="B112" s="46" t="s">
        <v>47</v>
      </c>
      <c r="C112" s="44" t="s">
        <v>379</v>
      </c>
      <c r="D112" s="47">
        <v>7245</v>
      </c>
      <c r="E112" s="46" t="s">
        <v>338</v>
      </c>
      <c r="F112" s="35">
        <v>30000</v>
      </c>
      <c r="G112" s="40">
        <v>30000</v>
      </c>
      <c r="H112" s="35">
        <v>0</v>
      </c>
      <c r="I112" s="35">
        <f t="shared" si="20"/>
        <v>30000</v>
      </c>
      <c r="J112" s="36">
        <f t="shared" si="21"/>
        <v>0</v>
      </c>
      <c r="K112" s="48" t="s">
        <v>83</v>
      </c>
      <c r="L112" s="48" t="s">
        <v>83</v>
      </c>
      <c r="M112" s="38">
        <v>41820</v>
      </c>
      <c r="N112" s="48"/>
      <c r="O112" s="35">
        <v>30000</v>
      </c>
      <c r="P112" s="35"/>
      <c r="Q112" s="35"/>
      <c r="R112" s="35"/>
      <c r="S112" s="41"/>
    </row>
    <row r="113" spans="1:19" s="15" customFormat="1" ht="26.25" customHeight="1" x14ac:dyDescent="0.2">
      <c r="A113" s="43" t="s">
        <v>358</v>
      </c>
      <c r="B113" s="46" t="s">
        <v>47</v>
      </c>
      <c r="C113" s="44" t="s">
        <v>380</v>
      </c>
      <c r="D113" s="47">
        <v>7244</v>
      </c>
      <c r="E113" s="46" t="s">
        <v>338</v>
      </c>
      <c r="F113" s="35">
        <v>20000</v>
      </c>
      <c r="G113" s="35">
        <v>20000</v>
      </c>
      <c r="H113" s="35">
        <v>0</v>
      </c>
      <c r="I113" s="35">
        <f t="shared" si="20"/>
        <v>20000</v>
      </c>
      <c r="J113" s="36">
        <f t="shared" si="21"/>
        <v>0</v>
      </c>
      <c r="K113" s="48" t="s">
        <v>83</v>
      </c>
      <c r="L113" s="48" t="s">
        <v>83</v>
      </c>
      <c r="M113" s="38">
        <v>41820</v>
      </c>
      <c r="N113" s="48"/>
      <c r="O113" s="35">
        <v>20000</v>
      </c>
      <c r="P113" s="35"/>
      <c r="Q113" s="35"/>
      <c r="R113" s="35"/>
      <c r="S113" s="41"/>
    </row>
    <row r="114" spans="1:19" s="15" customFormat="1" ht="26.25" customHeight="1" x14ac:dyDescent="0.2">
      <c r="A114" s="43" t="s">
        <v>359</v>
      </c>
      <c r="B114" s="46" t="s">
        <v>47</v>
      </c>
      <c r="C114" s="44" t="s">
        <v>381</v>
      </c>
      <c r="D114" s="47">
        <v>7243</v>
      </c>
      <c r="E114" s="46" t="s">
        <v>338</v>
      </c>
      <c r="F114" s="35">
        <v>20000</v>
      </c>
      <c r="G114" s="35">
        <v>20000</v>
      </c>
      <c r="H114" s="35">
        <v>0</v>
      </c>
      <c r="I114" s="35">
        <f t="shared" si="20"/>
        <v>20000</v>
      </c>
      <c r="J114" s="36">
        <f t="shared" si="21"/>
        <v>0</v>
      </c>
      <c r="K114" s="48" t="s">
        <v>83</v>
      </c>
      <c r="L114" s="48" t="s">
        <v>83</v>
      </c>
      <c r="M114" s="38">
        <v>41820</v>
      </c>
      <c r="N114" s="48"/>
      <c r="O114" s="35">
        <v>20000</v>
      </c>
      <c r="P114" s="35"/>
      <c r="Q114" s="35"/>
      <c r="R114" s="35"/>
      <c r="S114" s="41"/>
    </row>
    <row r="115" spans="1:19" s="15" customFormat="1" ht="38.25" customHeight="1" x14ac:dyDescent="0.2">
      <c r="A115" s="43" t="s">
        <v>360</v>
      </c>
      <c r="B115" s="46" t="s">
        <v>47</v>
      </c>
      <c r="C115" s="44" t="s">
        <v>382</v>
      </c>
      <c r="D115" s="47">
        <v>7242</v>
      </c>
      <c r="E115" s="46" t="s">
        <v>390</v>
      </c>
      <c r="F115" s="35">
        <v>25000</v>
      </c>
      <c r="G115" s="40">
        <v>25000</v>
      </c>
      <c r="H115" s="35">
        <v>0</v>
      </c>
      <c r="I115" s="35">
        <f t="shared" si="20"/>
        <v>25000</v>
      </c>
      <c r="J115" s="36">
        <f t="shared" si="21"/>
        <v>0</v>
      </c>
      <c r="K115" s="48" t="s">
        <v>83</v>
      </c>
      <c r="L115" s="48" t="s">
        <v>83</v>
      </c>
      <c r="M115" s="38">
        <v>41820</v>
      </c>
      <c r="N115" s="48"/>
      <c r="O115" s="35">
        <v>25000</v>
      </c>
      <c r="P115" s="35"/>
      <c r="Q115" s="35"/>
      <c r="R115" s="35"/>
      <c r="S115" s="41"/>
    </row>
    <row r="116" spans="1:19" s="15" customFormat="1" ht="26.25" customHeight="1" x14ac:dyDescent="0.2">
      <c r="A116" s="43" t="s">
        <v>361</v>
      </c>
      <c r="B116" s="46" t="s">
        <v>47</v>
      </c>
      <c r="C116" s="44" t="s">
        <v>382</v>
      </c>
      <c r="D116" s="47">
        <v>7241</v>
      </c>
      <c r="E116" s="46" t="s">
        <v>338</v>
      </c>
      <c r="F116" s="35">
        <v>20000</v>
      </c>
      <c r="G116" s="40">
        <v>20000</v>
      </c>
      <c r="H116" s="35">
        <v>0</v>
      </c>
      <c r="I116" s="35">
        <f t="shared" si="20"/>
        <v>20000</v>
      </c>
      <c r="J116" s="36">
        <f t="shared" si="21"/>
        <v>0</v>
      </c>
      <c r="K116" s="48" t="s">
        <v>83</v>
      </c>
      <c r="L116" s="48" t="s">
        <v>83</v>
      </c>
      <c r="M116" s="38">
        <v>41820</v>
      </c>
      <c r="N116" s="48"/>
      <c r="O116" s="35">
        <v>20000</v>
      </c>
      <c r="P116" s="35"/>
      <c r="Q116" s="35"/>
      <c r="R116" s="35"/>
      <c r="S116" s="41"/>
    </row>
    <row r="117" spans="1:19" s="15" customFormat="1" ht="26.25" customHeight="1" x14ac:dyDescent="0.2">
      <c r="A117" s="43" t="s">
        <v>362</v>
      </c>
      <c r="B117" s="46" t="s">
        <v>47</v>
      </c>
      <c r="C117" s="44" t="s">
        <v>383</v>
      </c>
      <c r="D117" s="47">
        <v>7172</v>
      </c>
      <c r="E117" s="46" t="s">
        <v>338</v>
      </c>
      <c r="F117" s="35">
        <v>25000</v>
      </c>
      <c r="G117" s="40">
        <v>25000</v>
      </c>
      <c r="H117" s="35">
        <v>0</v>
      </c>
      <c r="I117" s="35">
        <f t="shared" si="20"/>
        <v>25000</v>
      </c>
      <c r="J117" s="36">
        <f t="shared" si="21"/>
        <v>0</v>
      </c>
      <c r="K117" s="48" t="s">
        <v>83</v>
      </c>
      <c r="L117" s="48" t="s">
        <v>83</v>
      </c>
      <c r="M117" s="38">
        <v>41820</v>
      </c>
      <c r="N117" s="48"/>
      <c r="O117" s="35">
        <v>25000</v>
      </c>
      <c r="P117" s="35"/>
      <c r="Q117" s="35"/>
      <c r="R117" s="35"/>
      <c r="S117" s="41"/>
    </row>
    <row r="118" spans="1:19" s="15" customFormat="1" ht="18" customHeight="1" x14ac:dyDescent="0.2">
      <c r="A118" s="43" t="s">
        <v>363</v>
      </c>
      <c r="B118" s="46" t="s">
        <v>367</v>
      </c>
      <c r="C118" s="44"/>
      <c r="D118" s="47"/>
      <c r="E118" s="46"/>
      <c r="F118" s="35"/>
      <c r="G118" s="40"/>
      <c r="H118" s="35"/>
      <c r="I118" s="35"/>
      <c r="J118" s="36"/>
      <c r="K118" s="48"/>
      <c r="L118" s="48"/>
      <c r="M118" s="38"/>
      <c r="N118" s="48"/>
      <c r="O118" s="35"/>
      <c r="P118" s="35"/>
      <c r="Q118" s="35"/>
      <c r="R118" s="35"/>
      <c r="S118" s="41"/>
    </row>
    <row r="119" spans="1:19" s="15" customFormat="1" ht="26.25" customHeight="1" x14ac:dyDescent="0.2">
      <c r="A119" s="43" t="s">
        <v>364</v>
      </c>
      <c r="B119" s="46" t="s">
        <v>47</v>
      </c>
      <c r="C119" s="44" t="s">
        <v>384</v>
      </c>
      <c r="D119" s="47">
        <v>7169</v>
      </c>
      <c r="E119" s="46" t="s">
        <v>389</v>
      </c>
      <c r="F119" s="35">
        <v>20000</v>
      </c>
      <c r="G119" s="40">
        <v>20000</v>
      </c>
      <c r="H119" s="35">
        <v>0</v>
      </c>
      <c r="I119" s="35">
        <f t="shared" si="20"/>
        <v>20000</v>
      </c>
      <c r="J119" s="36">
        <f t="shared" si="21"/>
        <v>0</v>
      </c>
      <c r="K119" s="48" t="s">
        <v>83</v>
      </c>
      <c r="L119" s="48" t="s">
        <v>83</v>
      </c>
      <c r="M119" s="38">
        <v>41820</v>
      </c>
      <c r="N119" s="48"/>
      <c r="O119" s="35">
        <v>20000</v>
      </c>
      <c r="P119" s="35"/>
      <c r="Q119" s="35"/>
      <c r="R119" s="35"/>
      <c r="S119" s="41"/>
    </row>
    <row r="120" spans="1:19" s="15" customFormat="1" ht="26.25" customHeight="1" x14ac:dyDescent="0.2">
      <c r="A120" s="43" t="s">
        <v>365</v>
      </c>
      <c r="B120" s="46" t="s">
        <v>47</v>
      </c>
      <c r="C120" s="44" t="s">
        <v>385</v>
      </c>
      <c r="D120" s="47">
        <v>7168</v>
      </c>
      <c r="E120" s="46" t="s">
        <v>338</v>
      </c>
      <c r="F120" s="35">
        <v>20000</v>
      </c>
      <c r="G120" s="40">
        <v>20000</v>
      </c>
      <c r="H120" s="35">
        <v>0</v>
      </c>
      <c r="I120" s="35">
        <f t="shared" si="20"/>
        <v>20000</v>
      </c>
      <c r="J120" s="36">
        <f t="shared" si="21"/>
        <v>0</v>
      </c>
      <c r="K120" s="48" t="s">
        <v>83</v>
      </c>
      <c r="L120" s="48" t="s">
        <v>83</v>
      </c>
      <c r="M120" s="38">
        <v>41820</v>
      </c>
      <c r="N120" s="48"/>
      <c r="O120" s="35">
        <v>20000</v>
      </c>
      <c r="P120" s="35"/>
      <c r="Q120" s="35"/>
      <c r="R120" s="35"/>
      <c r="S120" s="41"/>
    </row>
    <row r="121" spans="1:19" s="15" customFormat="1" ht="38.25" customHeight="1" x14ac:dyDescent="0.2">
      <c r="A121" s="43" t="s">
        <v>366</v>
      </c>
      <c r="B121" s="46" t="s">
        <v>47</v>
      </c>
      <c r="C121" s="44" t="s">
        <v>386</v>
      </c>
      <c r="D121" s="47">
        <v>7270</v>
      </c>
      <c r="E121" s="46" t="s">
        <v>388</v>
      </c>
      <c r="F121" s="35">
        <v>30000</v>
      </c>
      <c r="G121" s="40">
        <v>30000</v>
      </c>
      <c r="H121" s="35">
        <v>0</v>
      </c>
      <c r="I121" s="35">
        <f t="shared" si="20"/>
        <v>30000</v>
      </c>
      <c r="J121" s="36">
        <f t="shared" si="21"/>
        <v>0</v>
      </c>
      <c r="K121" s="48" t="s">
        <v>83</v>
      </c>
      <c r="L121" s="48" t="s">
        <v>83</v>
      </c>
      <c r="M121" s="38">
        <v>41820</v>
      </c>
      <c r="N121" s="48"/>
      <c r="O121" s="35">
        <v>30000</v>
      </c>
      <c r="P121" s="35"/>
      <c r="Q121" s="35"/>
      <c r="R121" s="35"/>
      <c r="S121" s="41"/>
    </row>
    <row r="122" spans="1:19" s="15" customFormat="1" ht="26.25" customHeight="1" x14ac:dyDescent="0.2">
      <c r="A122" s="43" t="s">
        <v>400</v>
      </c>
      <c r="B122" s="46" t="s">
        <v>42</v>
      </c>
      <c r="C122" s="44" t="s">
        <v>406</v>
      </c>
      <c r="D122" s="34">
        <v>6847</v>
      </c>
      <c r="E122" s="46" t="s">
        <v>395</v>
      </c>
      <c r="F122" s="35">
        <v>5059</v>
      </c>
      <c r="G122" s="40">
        <v>5059</v>
      </c>
      <c r="H122" s="35">
        <v>0</v>
      </c>
      <c r="I122" s="35">
        <f t="shared" ref="I122:I131" si="22">G122+H122</f>
        <v>5059</v>
      </c>
      <c r="J122" s="36">
        <f t="shared" ref="J122:J131" si="23">IF(G122=0,100%,(I122-G122)/G122)</f>
        <v>0</v>
      </c>
      <c r="K122" s="48" t="s">
        <v>83</v>
      </c>
      <c r="L122" s="48" t="s">
        <v>83</v>
      </c>
      <c r="M122" s="38">
        <v>41516</v>
      </c>
      <c r="N122" s="48"/>
      <c r="O122" s="35">
        <v>5059</v>
      </c>
      <c r="P122" s="35"/>
      <c r="Q122" s="35"/>
      <c r="R122" s="35"/>
      <c r="S122" s="41"/>
    </row>
    <row r="123" spans="1:19" s="15" customFormat="1" ht="26.25" customHeight="1" x14ac:dyDescent="0.2">
      <c r="A123" s="43" t="s">
        <v>401</v>
      </c>
      <c r="B123" s="46" t="s">
        <v>159</v>
      </c>
      <c r="C123" s="44" t="s">
        <v>407</v>
      </c>
      <c r="D123" s="34">
        <v>6894</v>
      </c>
      <c r="E123" s="46" t="s">
        <v>398</v>
      </c>
      <c r="F123" s="35">
        <v>19000</v>
      </c>
      <c r="G123" s="40">
        <v>19000</v>
      </c>
      <c r="H123" s="35">
        <v>0</v>
      </c>
      <c r="I123" s="35">
        <f t="shared" si="22"/>
        <v>19000</v>
      </c>
      <c r="J123" s="36">
        <f t="shared" si="23"/>
        <v>0</v>
      </c>
      <c r="K123" s="48" t="s">
        <v>83</v>
      </c>
      <c r="L123" s="48" t="s">
        <v>83</v>
      </c>
      <c r="M123" s="38">
        <v>41765</v>
      </c>
      <c r="N123" s="48"/>
      <c r="O123" s="35">
        <v>19000</v>
      </c>
      <c r="P123" s="35"/>
      <c r="Q123" s="35"/>
      <c r="R123" s="35"/>
      <c r="S123" s="41"/>
    </row>
    <row r="124" spans="1:19" s="15" customFormat="1" ht="26.25" customHeight="1" x14ac:dyDescent="0.2">
      <c r="A124" s="43" t="s">
        <v>402</v>
      </c>
      <c r="B124" s="46" t="s">
        <v>159</v>
      </c>
      <c r="C124" s="44" t="s">
        <v>407</v>
      </c>
      <c r="D124" s="34">
        <v>6903</v>
      </c>
      <c r="E124" s="46" t="s">
        <v>396</v>
      </c>
      <c r="F124" s="35">
        <v>23500</v>
      </c>
      <c r="G124" s="40">
        <v>23500</v>
      </c>
      <c r="H124" s="35">
        <v>0</v>
      </c>
      <c r="I124" s="35">
        <f t="shared" si="22"/>
        <v>23500</v>
      </c>
      <c r="J124" s="36">
        <f t="shared" si="23"/>
        <v>0</v>
      </c>
      <c r="K124" s="48" t="s">
        <v>83</v>
      </c>
      <c r="L124" s="48" t="s">
        <v>83</v>
      </c>
      <c r="M124" s="38">
        <v>41820</v>
      </c>
      <c r="N124" s="48"/>
      <c r="O124" s="35">
        <v>23500</v>
      </c>
      <c r="P124" s="35"/>
      <c r="Q124" s="35"/>
      <c r="R124" s="35"/>
      <c r="S124" s="41"/>
    </row>
    <row r="125" spans="1:19" s="15" customFormat="1" ht="26.25" customHeight="1" x14ac:dyDescent="0.2">
      <c r="A125" s="43" t="s">
        <v>403</v>
      </c>
      <c r="B125" s="46" t="s">
        <v>315</v>
      </c>
      <c r="C125" s="44" t="s">
        <v>408</v>
      </c>
      <c r="D125" s="34">
        <v>7091</v>
      </c>
      <c r="E125" s="46" t="s">
        <v>397</v>
      </c>
      <c r="F125" s="35">
        <v>45000</v>
      </c>
      <c r="G125" s="40">
        <v>45000</v>
      </c>
      <c r="H125" s="35">
        <v>0</v>
      </c>
      <c r="I125" s="35">
        <f t="shared" si="22"/>
        <v>45000</v>
      </c>
      <c r="J125" s="36">
        <f t="shared" si="23"/>
        <v>0</v>
      </c>
      <c r="K125" s="48" t="s">
        <v>83</v>
      </c>
      <c r="L125" s="48" t="s">
        <v>83</v>
      </c>
      <c r="M125" s="38">
        <v>42338</v>
      </c>
      <c r="N125" s="48"/>
      <c r="O125" s="35">
        <v>45000</v>
      </c>
      <c r="P125" s="35"/>
      <c r="Q125" s="35"/>
      <c r="R125" s="35"/>
      <c r="S125" s="41"/>
    </row>
    <row r="126" spans="1:19" s="15" customFormat="1" ht="26.25" customHeight="1" x14ac:dyDescent="0.2">
      <c r="A126" s="43" t="s">
        <v>404</v>
      </c>
      <c r="B126" s="46" t="s">
        <v>405</v>
      </c>
      <c r="C126" s="44" t="s">
        <v>409</v>
      </c>
      <c r="D126" s="34">
        <v>7119</v>
      </c>
      <c r="E126" s="46" t="s">
        <v>399</v>
      </c>
      <c r="F126" s="35">
        <v>32209</v>
      </c>
      <c r="G126" s="40">
        <v>47869</v>
      </c>
      <c r="H126" s="35">
        <f>4800+32209</f>
        <v>37009</v>
      </c>
      <c r="I126" s="35">
        <f t="shared" si="22"/>
        <v>84878</v>
      </c>
      <c r="J126" s="36">
        <f t="shared" si="23"/>
        <v>0.77313083624057322</v>
      </c>
      <c r="K126" s="48" t="s">
        <v>83</v>
      </c>
      <c r="L126" s="48" t="s">
        <v>85</v>
      </c>
      <c r="M126" s="38">
        <v>41943</v>
      </c>
      <c r="N126" s="48" t="s">
        <v>86</v>
      </c>
      <c r="O126" s="35">
        <v>32209</v>
      </c>
      <c r="P126" s="35"/>
      <c r="Q126" s="35"/>
      <c r="R126" s="35"/>
      <c r="S126" s="41"/>
    </row>
    <row r="127" spans="1:19" s="15" customFormat="1" ht="18" customHeight="1" x14ac:dyDescent="0.2">
      <c r="A127" s="43" t="s">
        <v>411</v>
      </c>
      <c r="B127" s="46" t="s">
        <v>40</v>
      </c>
      <c r="C127" s="44" t="s">
        <v>414</v>
      </c>
      <c r="D127" s="34">
        <v>7105</v>
      </c>
      <c r="E127" s="46" t="s">
        <v>413</v>
      </c>
      <c r="F127" s="40">
        <f>98800*3</f>
        <v>296400</v>
      </c>
      <c r="G127" s="40">
        <f>98800*3</f>
        <v>296400</v>
      </c>
      <c r="H127" s="35">
        <v>0</v>
      </c>
      <c r="I127" s="35">
        <f t="shared" si="22"/>
        <v>296400</v>
      </c>
      <c r="J127" s="36">
        <f t="shared" si="23"/>
        <v>0</v>
      </c>
      <c r="K127" s="48" t="s">
        <v>83</v>
      </c>
      <c r="L127" s="48" t="s">
        <v>85</v>
      </c>
      <c r="M127" s="38">
        <v>41820</v>
      </c>
      <c r="N127" s="48" t="s">
        <v>84</v>
      </c>
      <c r="O127" s="35">
        <v>98800</v>
      </c>
      <c r="P127" s="35">
        <v>98800</v>
      </c>
      <c r="Q127" s="35">
        <v>98800</v>
      </c>
      <c r="R127" s="35"/>
      <c r="S127" s="41"/>
    </row>
    <row r="128" spans="1:19" s="15" customFormat="1" ht="38.25" customHeight="1" x14ac:dyDescent="0.2">
      <c r="A128" s="43" t="s">
        <v>412</v>
      </c>
      <c r="B128" s="46" t="s">
        <v>159</v>
      </c>
      <c r="C128" s="44" t="s">
        <v>415</v>
      </c>
      <c r="D128" s="34">
        <v>7153</v>
      </c>
      <c r="E128" s="46" t="s">
        <v>596</v>
      </c>
      <c r="F128" s="40">
        <f>66500*3</f>
        <v>199500</v>
      </c>
      <c r="G128" s="40">
        <f>66500*3</f>
        <v>199500</v>
      </c>
      <c r="H128" s="35">
        <v>0</v>
      </c>
      <c r="I128" s="35">
        <f t="shared" si="22"/>
        <v>199500</v>
      </c>
      <c r="J128" s="36">
        <f t="shared" si="23"/>
        <v>0</v>
      </c>
      <c r="K128" s="48" t="s">
        <v>83</v>
      </c>
      <c r="L128" s="48" t="s">
        <v>85</v>
      </c>
      <c r="M128" s="38">
        <v>41912</v>
      </c>
      <c r="N128" s="48" t="s">
        <v>84</v>
      </c>
      <c r="O128" s="35">
        <v>66500</v>
      </c>
      <c r="P128" s="35">
        <v>66500</v>
      </c>
      <c r="Q128" s="35">
        <v>66500</v>
      </c>
      <c r="R128" s="35"/>
      <c r="S128" s="41"/>
    </row>
    <row r="129" spans="1:19" s="15" customFormat="1" ht="26.25" customHeight="1" x14ac:dyDescent="0.2">
      <c r="A129" s="43" t="s">
        <v>417</v>
      </c>
      <c r="B129" s="46" t="s">
        <v>38</v>
      </c>
      <c r="C129" s="44" t="s">
        <v>420</v>
      </c>
      <c r="D129" s="34">
        <v>7204</v>
      </c>
      <c r="E129" s="46" t="s">
        <v>416</v>
      </c>
      <c r="F129" s="35">
        <v>10500</v>
      </c>
      <c r="G129" s="40">
        <v>10500</v>
      </c>
      <c r="H129" s="35">
        <v>0</v>
      </c>
      <c r="I129" s="35">
        <f t="shared" si="22"/>
        <v>10500</v>
      </c>
      <c r="J129" s="36">
        <f t="shared" si="23"/>
        <v>0</v>
      </c>
      <c r="K129" s="48" t="s">
        <v>83</v>
      </c>
      <c r="L129" s="48" t="s">
        <v>85</v>
      </c>
      <c r="M129" s="38">
        <v>41497</v>
      </c>
      <c r="N129" s="48"/>
      <c r="O129" s="35">
        <v>10500</v>
      </c>
      <c r="P129" s="35"/>
      <c r="Q129" s="35"/>
      <c r="R129" s="35"/>
      <c r="S129" s="41"/>
    </row>
    <row r="130" spans="1:19" s="15" customFormat="1" ht="26.25" customHeight="1" x14ac:dyDescent="0.2">
      <c r="A130" s="43" t="s">
        <v>418</v>
      </c>
      <c r="B130" s="46" t="s">
        <v>38</v>
      </c>
      <c r="C130" s="44" t="s">
        <v>421</v>
      </c>
      <c r="D130" s="34">
        <v>7208</v>
      </c>
      <c r="E130" s="46" t="s">
        <v>416</v>
      </c>
      <c r="F130" s="35">
        <v>10416</v>
      </c>
      <c r="G130" s="40">
        <v>10416</v>
      </c>
      <c r="H130" s="35">
        <v>0</v>
      </c>
      <c r="I130" s="35">
        <f t="shared" si="22"/>
        <v>10416</v>
      </c>
      <c r="J130" s="36">
        <f t="shared" si="23"/>
        <v>0</v>
      </c>
      <c r="K130" s="48" t="s">
        <v>83</v>
      </c>
      <c r="L130" s="48" t="s">
        <v>85</v>
      </c>
      <c r="M130" s="38">
        <v>41497</v>
      </c>
      <c r="N130" s="48"/>
      <c r="O130" s="35">
        <v>10416</v>
      </c>
      <c r="P130" s="35"/>
      <c r="Q130" s="35"/>
      <c r="R130" s="35"/>
      <c r="S130" s="41"/>
    </row>
    <row r="131" spans="1:19" s="15" customFormat="1" ht="26.25" customHeight="1" x14ac:dyDescent="0.2">
      <c r="A131" s="43" t="s">
        <v>419</v>
      </c>
      <c r="B131" s="46" t="s">
        <v>38</v>
      </c>
      <c r="C131" s="44" t="s">
        <v>422</v>
      </c>
      <c r="D131" s="34">
        <v>7209</v>
      </c>
      <c r="E131" s="46" t="s">
        <v>416</v>
      </c>
      <c r="F131" s="35">
        <v>44100</v>
      </c>
      <c r="G131" s="40">
        <v>44100</v>
      </c>
      <c r="H131" s="35">
        <v>0</v>
      </c>
      <c r="I131" s="35">
        <f t="shared" si="22"/>
        <v>44100</v>
      </c>
      <c r="J131" s="36">
        <f t="shared" si="23"/>
        <v>0</v>
      </c>
      <c r="K131" s="48" t="s">
        <v>83</v>
      </c>
      <c r="L131" s="48" t="s">
        <v>85</v>
      </c>
      <c r="M131" s="38">
        <v>41497</v>
      </c>
      <c r="N131" s="48"/>
      <c r="O131" s="35">
        <v>44100</v>
      </c>
      <c r="P131" s="35"/>
      <c r="Q131" s="35"/>
      <c r="R131" s="35"/>
      <c r="S131" s="41"/>
    </row>
    <row r="132" spans="1:19" s="15" customFormat="1" ht="26.25" customHeight="1" x14ac:dyDescent="0.2">
      <c r="A132" s="43" t="s">
        <v>423</v>
      </c>
      <c r="B132" s="46" t="s">
        <v>430</v>
      </c>
      <c r="C132" s="44" t="s">
        <v>437</v>
      </c>
      <c r="D132" s="34">
        <v>6954</v>
      </c>
      <c r="E132" s="46" t="s">
        <v>431</v>
      </c>
      <c r="F132" s="35">
        <f>15000*3</f>
        <v>45000</v>
      </c>
      <c r="G132" s="40">
        <f>15000*3</f>
        <v>45000</v>
      </c>
      <c r="H132" s="35">
        <v>0</v>
      </c>
      <c r="I132" s="35">
        <f t="shared" ref="I132:I138" si="24">G132+H132</f>
        <v>45000</v>
      </c>
      <c r="J132" s="36">
        <f t="shared" ref="J132:J138" si="25">IF(G132=0,100%,(I132-G132)/G132)</f>
        <v>0</v>
      </c>
      <c r="K132" s="48" t="s">
        <v>83</v>
      </c>
      <c r="L132" s="48" t="s">
        <v>83</v>
      </c>
      <c r="M132" s="38">
        <v>41820</v>
      </c>
      <c r="N132" s="48" t="s">
        <v>84</v>
      </c>
      <c r="O132" s="35">
        <v>15000</v>
      </c>
      <c r="P132" s="35">
        <v>15000</v>
      </c>
      <c r="Q132" s="35">
        <v>15000</v>
      </c>
      <c r="R132" s="35"/>
      <c r="S132" s="41"/>
    </row>
    <row r="133" spans="1:19" s="15" customFormat="1" ht="26.25" customHeight="1" x14ac:dyDescent="0.2">
      <c r="A133" s="43" t="s">
        <v>424</v>
      </c>
      <c r="B133" s="46" t="s">
        <v>94</v>
      </c>
      <c r="C133" s="44" t="s">
        <v>438</v>
      </c>
      <c r="D133" s="47" t="s">
        <v>443</v>
      </c>
      <c r="E133" s="46" t="s">
        <v>436</v>
      </c>
      <c r="F133" s="35">
        <f>49500*3</f>
        <v>148500</v>
      </c>
      <c r="G133" s="40">
        <v>49500</v>
      </c>
      <c r="H133" s="35">
        <f>49500*3</f>
        <v>148500</v>
      </c>
      <c r="I133" s="35">
        <f t="shared" si="24"/>
        <v>198000</v>
      </c>
      <c r="J133" s="36">
        <f t="shared" si="25"/>
        <v>3</v>
      </c>
      <c r="K133" s="48" t="s">
        <v>83</v>
      </c>
      <c r="L133" s="48" t="s">
        <v>83</v>
      </c>
      <c r="M133" s="38">
        <v>41698</v>
      </c>
      <c r="N133" s="48" t="s">
        <v>86</v>
      </c>
      <c r="O133" s="35">
        <v>49500</v>
      </c>
      <c r="P133" s="35">
        <v>49500</v>
      </c>
      <c r="Q133" s="35">
        <v>49500</v>
      </c>
      <c r="R133" s="35"/>
      <c r="S133" s="41"/>
    </row>
    <row r="134" spans="1:19" s="15" customFormat="1" ht="26.25" customHeight="1" x14ac:dyDescent="0.2">
      <c r="A134" s="43" t="s">
        <v>425</v>
      </c>
      <c r="B134" s="46" t="s">
        <v>41</v>
      </c>
      <c r="C134" s="44" t="s">
        <v>439</v>
      </c>
      <c r="D134" s="34">
        <v>7150</v>
      </c>
      <c r="E134" s="46" t="s">
        <v>444</v>
      </c>
      <c r="F134" s="35">
        <v>6332</v>
      </c>
      <c r="G134" s="40">
        <v>6332</v>
      </c>
      <c r="H134" s="35">
        <v>0</v>
      </c>
      <c r="I134" s="35">
        <f t="shared" si="24"/>
        <v>6332</v>
      </c>
      <c r="J134" s="36">
        <f t="shared" si="25"/>
        <v>0</v>
      </c>
      <c r="K134" s="48" t="s">
        <v>83</v>
      </c>
      <c r="L134" s="48" t="s">
        <v>85</v>
      </c>
      <c r="M134" s="38">
        <v>41820</v>
      </c>
      <c r="N134" s="48"/>
      <c r="O134" s="35">
        <v>6332</v>
      </c>
      <c r="P134" s="35"/>
      <c r="Q134" s="35"/>
      <c r="R134" s="35"/>
      <c r="S134" s="41"/>
    </row>
    <row r="135" spans="1:19" s="15" customFormat="1" ht="26.25" customHeight="1" x14ac:dyDescent="0.2">
      <c r="A135" s="43" t="s">
        <v>426</v>
      </c>
      <c r="B135" s="46" t="s">
        <v>40</v>
      </c>
      <c r="C135" s="44" t="s">
        <v>440</v>
      </c>
      <c r="D135" s="34">
        <v>7154</v>
      </c>
      <c r="E135" s="46" t="s">
        <v>432</v>
      </c>
      <c r="F135" s="35">
        <f>25000*3</f>
        <v>75000</v>
      </c>
      <c r="G135" s="40">
        <f>25000*3</f>
        <v>75000</v>
      </c>
      <c r="H135" s="35">
        <v>0</v>
      </c>
      <c r="I135" s="35">
        <f t="shared" si="24"/>
        <v>75000</v>
      </c>
      <c r="J135" s="36">
        <f t="shared" si="25"/>
        <v>0</v>
      </c>
      <c r="K135" s="48" t="s">
        <v>83</v>
      </c>
      <c r="L135" s="48" t="s">
        <v>83</v>
      </c>
      <c r="M135" s="38">
        <v>41912</v>
      </c>
      <c r="N135" s="48" t="s">
        <v>84</v>
      </c>
      <c r="O135" s="35">
        <v>25000</v>
      </c>
      <c r="P135" s="35">
        <v>25000</v>
      </c>
      <c r="Q135" s="35">
        <v>25000</v>
      </c>
      <c r="R135" s="35"/>
      <c r="S135" s="41"/>
    </row>
    <row r="136" spans="1:19" s="15" customFormat="1" ht="26.25" customHeight="1" x14ac:dyDescent="0.2">
      <c r="A136" s="43" t="s">
        <v>427</v>
      </c>
      <c r="B136" s="46" t="s">
        <v>39</v>
      </c>
      <c r="C136" s="44" t="s">
        <v>441</v>
      </c>
      <c r="D136" s="34">
        <v>7166</v>
      </c>
      <c r="E136" s="46" t="s">
        <v>433</v>
      </c>
      <c r="F136" s="35">
        <v>29112</v>
      </c>
      <c r="G136" s="40">
        <v>29112</v>
      </c>
      <c r="H136" s="35">
        <v>0</v>
      </c>
      <c r="I136" s="35">
        <f t="shared" si="24"/>
        <v>29112</v>
      </c>
      <c r="J136" s="36">
        <f t="shared" si="25"/>
        <v>0</v>
      </c>
      <c r="K136" s="48" t="s">
        <v>83</v>
      </c>
      <c r="L136" s="48" t="s">
        <v>85</v>
      </c>
      <c r="M136" s="38">
        <v>41639</v>
      </c>
      <c r="N136" s="48"/>
      <c r="O136" s="35">
        <v>29112</v>
      </c>
      <c r="P136" s="35"/>
      <c r="Q136" s="35"/>
      <c r="R136" s="35"/>
      <c r="S136" s="41"/>
    </row>
    <row r="137" spans="1:19" s="15" customFormat="1" ht="26.25" customHeight="1" x14ac:dyDescent="0.2">
      <c r="A137" s="43" t="s">
        <v>428</v>
      </c>
      <c r="B137" s="46" t="s">
        <v>39</v>
      </c>
      <c r="C137" s="44" t="s">
        <v>442</v>
      </c>
      <c r="D137" s="34">
        <v>7173</v>
      </c>
      <c r="E137" s="46" t="s">
        <v>434</v>
      </c>
      <c r="F137" s="35">
        <v>5950</v>
      </c>
      <c r="G137" s="40">
        <v>5950</v>
      </c>
      <c r="H137" s="35">
        <v>0</v>
      </c>
      <c r="I137" s="35">
        <f t="shared" si="24"/>
        <v>5950</v>
      </c>
      <c r="J137" s="36">
        <f t="shared" si="25"/>
        <v>0</v>
      </c>
      <c r="K137" s="48" t="s">
        <v>83</v>
      </c>
      <c r="L137" s="48" t="s">
        <v>85</v>
      </c>
      <c r="M137" s="38">
        <v>41639</v>
      </c>
      <c r="N137" s="48"/>
      <c r="O137" s="35">
        <v>5950</v>
      </c>
      <c r="P137" s="35"/>
      <c r="Q137" s="35"/>
      <c r="R137" s="35"/>
      <c r="S137" s="41"/>
    </row>
    <row r="138" spans="1:19" s="15" customFormat="1" ht="26.25" customHeight="1" x14ac:dyDescent="0.2">
      <c r="A138" s="43" t="s">
        <v>429</v>
      </c>
      <c r="B138" s="46" t="s">
        <v>159</v>
      </c>
      <c r="C138" s="44" t="s">
        <v>134</v>
      </c>
      <c r="D138" s="34">
        <v>7256</v>
      </c>
      <c r="E138" s="46" t="s">
        <v>435</v>
      </c>
      <c r="F138" s="35">
        <v>8000</v>
      </c>
      <c r="G138" s="40">
        <v>8000</v>
      </c>
      <c r="H138" s="35">
        <v>0</v>
      </c>
      <c r="I138" s="35">
        <f t="shared" si="24"/>
        <v>8000</v>
      </c>
      <c r="J138" s="36">
        <f t="shared" si="25"/>
        <v>0</v>
      </c>
      <c r="K138" s="48" t="s">
        <v>83</v>
      </c>
      <c r="L138" s="48" t="s">
        <v>83</v>
      </c>
      <c r="M138" s="38">
        <v>41820</v>
      </c>
      <c r="N138" s="48"/>
      <c r="O138" s="35">
        <v>8000</v>
      </c>
      <c r="P138" s="35"/>
      <c r="Q138" s="35"/>
      <c r="R138" s="35"/>
      <c r="S138" s="41"/>
    </row>
    <row r="139" spans="1:19" s="15" customFormat="1" ht="26.25" customHeight="1" x14ac:dyDescent="0.2">
      <c r="A139" s="43" t="s">
        <v>445</v>
      </c>
      <c r="B139" s="46" t="s">
        <v>315</v>
      </c>
      <c r="C139" s="44" t="s">
        <v>447</v>
      </c>
      <c r="D139" s="34">
        <v>6459</v>
      </c>
      <c r="E139" s="46" t="s">
        <v>449</v>
      </c>
      <c r="F139" s="35">
        <v>99000</v>
      </c>
      <c r="G139" s="40">
        <v>95000</v>
      </c>
      <c r="H139" s="35">
        <f>95000+35000+15000+10000+10000+10000+40000+99000</f>
        <v>314000</v>
      </c>
      <c r="I139" s="35">
        <f t="shared" ref="I139:I152" si="26">G139+H139</f>
        <v>409000</v>
      </c>
      <c r="J139" s="36">
        <f t="shared" ref="J139:J152" si="27">IF(G139=0,100%,(I139-G139)/G139)</f>
        <v>3.3052631578947369</v>
      </c>
      <c r="K139" s="48" t="s">
        <v>83</v>
      </c>
      <c r="L139" s="48" t="s">
        <v>83</v>
      </c>
      <c r="M139" s="52" t="s">
        <v>331</v>
      </c>
      <c r="N139" s="48" t="s">
        <v>86</v>
      </c>
      <c r="O139" s="35">
        <v>99000</v>
      </c>
      <c r="P139" s="35"/>
      <c r="Q139" s="35"/>
      <c r="R139" s="35"/>
      <c r="S139" s="41"/>
    </row>
    <row r="140" spans="1:19" s="15" customFormat="1" ht="26.25" customHeight="1" x14ac:dyDescent="0.2">
      <c r="A140" s="43" t="s">
        <v>446</v>
      </c>
      <c r="B140" s="46" t="s">
        <v>39</v>
      </c>
      <c r="C140" s="44" t="s">
        <v>448</v>
      </c>
      <c r="D140" s="34">
        <v>7193</v>
      </c>
      <c r="E140" s="46" t="s">
        <v>450</v>
      </c>
      <c r="F140" s="35">
        <f>98500*3</f>
        <v>295500</v>
      </c>
      <c r="G140" s="40">
        <f>98500*3</f>
        <v>295500</v>
      </c>
      <c r="H140" s="35">
        <v>0</v>
      </c>
      <c r="I140" s="35">
        <f t="shared" si="26"/>
        <v>295500</v>
      </c>
      <c r="J140" s="36">
        <f t="shared" si="27"/>
        <v>0</v>
      </c>
      <c r="K140" s="48" t="s">
        <v>83</v>
      </c>
      <c r="L140" s="48" t="s">
        <v>85</v>
      </c>
      <c r="M140" s="38">
        <v>41820</v>
      </c>
      <c r="N140" s="48" t="s">
        <v>84</v>
      </c>
      <c r="O140" s="35">
        <v>98500</v>
      </c>
      <c r="P140" s="35">
        <v>98500</v>
      </c>
      <c r="Q140" s="35">
        <v>98500</v>
      </c>
      <c r="R140" s="35"/>
      <c r="S140" s="41"/>
    </row>
    <row r="141" spans="1:19" s="15" customFormat="1" ht="38.25" customHeight="1" x14ac:dyDescent="0.2">
      <c r="A141" s="43" t="s">
        <v>451</v>
      </c>
      <c r="B141" s="46" t="s">
        <v>41</v>
      </c>
      <c r="C141" s="44" t="s">
        <v>452</v>
      </c>
      <c r="D141" s="34">
        <v>7271</v>
      </c>
      <c r="E141" s="46" t="s">
        <v>453</v>
      </c>
      <c r="F141" s="35">
        <v>32000</v>
      </c>
      <c r="G141" s="40">
        <v>60000</v>
      </c>
      <c r="H141" s="35">
        <v>32000</v>
      </c>
      <c r="I141" s="35">
        <f t="shared" si="26"/>
        <v>92000</v>
      </c>
      <c r="J141" s="36">
        <f t="shared" si="27"/>
        <v>0.53333333333333333</v>
      </c>
      <c r="K141" s="48" t="s">
        <v>83</v>
      </c>
      <c r="L141" s="48" t="s">
        <v>83</v>
      </c>
      <c r="M141" s="38">
        <v>41629</v>
      </c>
      <c r="N141" s="48" t="s">
        <v>86</v>
      </c>
      <c r="O141" s="35">
        <v>32000</v>
      </c>
      <c r="P141" s="35"/>
      <c r="Q141" s="35"/>
      <c r="R141" s="35"/>
      <c r="S141" s="41"/>
    </row>
    <row r="142" spans="1:19" s="15" customFormat="1" ht="26.25" customHeight="1" x14ac:dyDescent="0.2">
      <c r="A142" s="43" t="s">
        <v>454</v>
      </c>
      <c r="B142" s="46" t="s">
        <v>159</v>
      </c>
      <c r="C142" s="44" t="s">
        <v>466</v>
      </c>
      <c r="D142" s="47" t="s">
        <v>471</v>
      </c>
      <c r="E142" s="46" t="s">
        <v>464</v>
      </c>
      <c r="F142" s="35">
        <v>5850</v>
      </c>
      <c r="G142" s="40">
        <v>12189</v>
      </c>
      <c r="H142" s="35">
        <v>5850</v>
      </c>
      <c r="I142" s="35">
        <f t="shared" si="26"/>
        <v>18039</v>
      </c>
      <c r="J142" s="36">
        <f t="shared" si="27"/>
        <v>0.47994093034703422</v>
      </c>
      <c r="K142" s="48" t="s">
        <v>83</v>
      </c>
      <c r="L142" s="48" t="s">
        <v>83</v>
      </c>
      <c r="M142" s="38">
        <v>41820</v>
      </c>
      <c r="N142" s="48" t="s">
        <v>86</v>
      </c>
      <c r="O142" s="35">
        <v>5850</v>
      </c>
      <c r="P142" s="35"/>
      <c r="Q142" s="35"/>
      <c r="R142" s="35"/>
      <c r="S142" s="41"/>
    </row>
    <row r="143" spans="1:19" s="15" customFormat="1" ht="26.25" customHeight="1" x14ac:dyDescent="0.2">
      <c r="A143" s="43" t="s">
        <v>455</v>
      </c>
      <c r="B143" s="46" t="s">
        <v>39</v>
      </c>
      <c r="C143" s="44" t="s">
        <v>177</v>
      </c>
      <c r="D143" s="34">
        <v>7218</v>
      </c>
      <c r="E143" s="46" t="s">
        <v>460</v>
      </c>
      <c r="F143" s="35">
        <v>5941</v>
      </c>
      <c r="G143" s="40">
        <v>5941</v>
      </c>
      <c r="H143" s="35">
        <v>0</v>
      </c>
      <c r="I143" s="35">
        <f t="shared" si="26"/>
        <v>5941</v>
      </c>
      <c r="J143" s="36">
        <f t="shared" si="27"/>
        <v>0</v>
      </c>
      <c r="K143" s="48" t="s">
        <v>83</v>
      </c>
      <c r="L143" s="48" t="s">
        <v>83</v>
      </c>
      <c r="M143" s="38">
        <v>41488</v>
      </c>
      <c r="N143" s="48"/>
      <c r="O143" s="35">
        <v>5941</v>
      </c>
      <c r="P143" s="35"/>
      <c r="Q143" s="35"/>
      <c r="R143" s="35"/>
      <c r="S143" s="41"/>
    </row>
    <row r="144" spans="1:19" s="15" customFormat="1" ht="26.25" customHeight="1" x14ac:dyDescent="0.2">
      <c r="A144" s="43" t="s">
        <v>456</v>
      </c>
      <c r="B144" s="46" t="s">
        <v>315</v>
      </c>
      <c r="C144" s="44" t="s">
        <v>467</v>
      </c>
      <c r="D144" s="47" t="s">
        <v>472</v>
      </c>
      <c r="E144" s="46" t="s">
        <v>461</v>
      </c>
      <c r="F144" s="35">
        <v>25000</v>
      </c>
      <c r="G144" s="40">
        <v>25000</v>
      </c>
      <c r="H144" s="35">
        <v>0</v>
      </c>
      <c r="I144" s="35">
        <f t="shared" si="26"/>
        <v>25000</v>
      </c>
      <c r="J144" s="36">
        <f t="shared" si="27"/>
        <v>0</v>
      </c>
      <c r="K144" s="48" t="s">
        <v>83</v>
      </c>
      <c r="L144" s="48" t="s">
        <v>83</v>
      </c>
      <c r="M144" s="38">
        <v>41522</v>
      </c>
      <c r="N144" s="48"/>
      <c r="O144" s="35">
        <v>25000</v>
      </c>
      <c r="P144" s="35"/>
      <c r="Q144" s="35"/>
      <c r="R144" s="35"/>
      <c r="S144" s="41"/>
    </row>
    <row r="145" spans="1:19" s="15" customFormat="1" ht="26.25" customHeight="1" x14ac:dyDescent="0.2">
      <c r="A145" s="43" t="s">
        <v>457</v>
      </c>
      <c r="B145" s="46" t="s">
        <v>94</v>
      </c>
      <c r="C145" s="44" t="s">
        <v>468</v>
      </c>
      <c r="D145" s="34">
        <v>7294</v>
      </c>
      <c r="E145" s="46" t="s">
        <v>462</v>
      </c>
      <c r="F145" s="35">
        <f>30000*2</f>
        <v>60000</v>
      </c>
      <c r="G145" s="40">
        <f>30000*2</f>
        <v>60000</v>
      </c>
      <c r="H145" s="35">
        <v>0</v>
      </c>
      <c r="I145" s="35">
        <f t="shared" si="26"/>
        <v>60000</v>
      </c>
      <c r="J145" s="36">
        <f t="shared" si="27"/>
        <v>0</v>
      </c>
      <c r="K145" s="48" t="s">
        <v>83</v>
      </c>
      <c r="L145" s="48" t="s">
        <v>83</v>
      </c>
      <c r="M145" s="38">
        <v>41820</v>
      </c>
      <c r="N145" s="48" t="s">
        <v>84</v>
      </c>
      <c r="O145" s="35">
        <v>30000</v>
      </c>
      <c r="P145" s="35">
        <v>30000</v>
      </c>
      <c r="Q145" s="35"/>
      <c r="R145" s="35"/>
      <c r="S145" s="41"/>
    </row>
    <row r="146" spans="1:19" s="15" customFormat="1" ht="26.25" customHeight="1" x14ac:dyDescent="0.2">
      <c r="A146" s="43" t="s">
        <v>458</v>
      </c>
      <c r="B146" s="46" t="s">
        <v>315</v>
      </c>
      <c r="C146" s="44" t="s">
        <v>469</v>
      </c>
      <c r="D146" s="47" t="s">
        <v>473</v>
      </c>
      <c r="E146" s="46" t="s">
        <v>461</v>
      </c>
      <c r="F146" s="35">
        <v>25000</v>
      </c>
      <c r="G146" s="40">
        <v>5000</v>
      </c>
      <c r="H146" s="35">
        <f>30000+25000</f>
        <v>55000</v>
      </c>
      <c r="I146" s="35">
        <f t="shared" si="26"/>
        <v>60000</v>
      </c>
      <c r="J146" s="36">
        <f t="shared" si="27"/>
        <v>11</v>
      </c>
      <c r="K146" s="48" t="s">
        <v>83</v>
      </c>
      <c r="L146" s="48" t="s">
        <v>83</v>
      </c>
      <c r="M146" s="38">
        <v>41548</v>
      </c>
      <c r="N146" s="48" t="s">
        <v>86</v>
      </c>
      <c r="O146" s="35">
        <v>25000</v>
      </c>
      <c r="P146" s="35"/>
      <c r="Q146" s="35"/>
      <c r="R146" s="35"/>
      <c r="S146" s="41"/>
    </row>
    <row r="147" spans="1:19" s="15" customFormat="1" ht="26.25" customHeight="1" x14ac:dyDescent="0.2">
      <c r="A147" s="43" t="s">
        <v>459</v>
      </c>
      <c r="B147" s="46" t="s">
        <v>465</v>
      </c>
      <c r="C147" s="44" t="s">
        <v>470</v>
      </c>
      <c r="D147" s="47" t="s">
        <v>474</v>
      </c>
      <c r="E147" s="46" t="s">
        <v>463</v>
      </c>
      <c r="F147" s="35">
        <f>20000*2</f>
        <v>40000</v>
      </c>
      <c r="G147" s="40">
        <v>15000</v>
      </c>
      <c r="H147" s="35">
        <f>20000*2</f>
        <v>40000</v>
      </c>
      <c r="I147" s="35">
        <f t="shared" si="26"/>
        <v>55000</v>
      </c>
      <c r="J147" s="36">
        <f t="shared" si="27"/>
        <v>2.6666666666666665</v>
      </c>
      <c r="K147" s="48" t="s">
        <v>83</v>
      </c>
      <c r="L147" s="48" t="s">
        <v>83</v>
      </c>
      <c r="M147" s="38">
        <v>41820</v>
      </c>
      <c r="N147" s="48" t="s">
        <v>86</v>
      </c>
      <c r="O147" s="35">
        <v>20000</v>
      </c>
      <c r="P147" s="35">
        <v>20000</v>
      </c>
      <c r="Q147" s="35"/>
      <c r="R147" s="35"/>
      <c r="S147" s="41"/>
    </row>
    <row r="148" spans="1:19" s="15" customFormat="1" ht="26.25" customHeight="1" x14ac:dyDescent="0.2">
      <c r="A148" s="43" t="s">
        <v>475</v>
      </c>
      <c r="B148" s="46" t="s">
        <v>479</v>
      </c>
      <c r="C148" s="44" t="s">
        <v>480</v>
      </c>
      <c r="D148" s="47">
        <v>7344</v>
      </c>
      <c r="E148" s="46" t="s">
        <v>484</v>
      </c>
      <c r="F148" s="35">
        <v>99475</v>
      </c>
      <c r="G148" s="40">
        <v>99475</v>
      </c>
      <c r="H148" s="35">
        <v>0</v>
      </c>
      <c r="I148" s="35">
        <f t="shared" si="26"/>
        <v>99475</v>
      </c>
      <c r="J148" s="36">
        <f t="shared" si="27"/>
        <v>0</v>
      </c>
      <c r="K148" s="48" t="s">
        <v>83</v>
      </c>
      <c r="L148" s="48" t="s">
        <v>85</v>
      </c>
      <c r="M148" s="38">
        <v>41820</v>
      </c>
      <c r="N148" s="48"/>
      <c r="O148" s="35">
        <v>99475</v>
      </c>
      <c r="P148" s="35"/>
      <c r="Q148" s="35"/>
      <c r="R148" s="35"/>
      <c r="S148" s="41"/>
    </row>
    <row r="149" spans="1:19" s="15" customFormat="1" ht="26.25" customHeight="1" x14ac:dyDescent="0.2">
      <c r="A149" s="43" t="s">
        <v>476</v>
      </c>
      <c r="B149" s="46" t="s">
        <v>45</v>
      </c>
      <c r="C149" s="44" t="s">
        <v>481</v>
      </c>
      <c r="D149" s="47">
        <v>7359</v>
      </c>
      <c r="E149" s="46" t="s">
        <v>485</v>
      </c>
      <c r="F149" s="35">
        <v>99000</v>
      </c>
      <c r="G149" s="40">
        <v>99000</v>
      </c>
      <c r="H149" s="35">
        <v>0</v>
      </c>
      <c r="I149" s="35">
        <f t="shared" si="26"/>
        <v>99000</v>
      </c>
      <c r="J149" s="36">
        <f t="shared" si="27"/>
        <v>0</v>
      </c>
      <c r="K149" s="48" t="s">
        <v>83</v>
      </c>
      <c r="L149" s="48" t="s">
        <v>83</v>
      </c>
      <c r="M149" s="38">
        <v>41820</v>
      </c>
      <c r="N149" s="48"/>
      <c r="O149" s="35">
        <v>99000</v>
      </c>
      <c r="P149" s="35"/>
      <c r="Q149" s="35"/>
      <c r="R149" s="35"/>
      <c r="S149" s="41"/>
    </row>
    <row r="150" spans="1:19" s="15" customFormat="1" ht="26.25" customHeight="1" x14ac:dyDescent="0.2">
      <c r="A150" s="43" t="s">
        <v>477</v>
      </c>
      <c r="B150" s="46" t="s">
        <v>159</v>
      </c>
      <c r="C150" s="44" t="s">
        <v>482</v>
      </c>
      <c r="D150" s="47">
        <v>7363</v>
      </c>
      <c r="E150" s="46" t="s">
        <v>486</v>
      </c>
      <c r="F150" s="35">
        <v>80000</v>
      </c>
      <c r="G150" s="40">
        <v>80000</v>
      </c>
      <c r="H150" s="35">
        <v>0</v>
      </c>
      <c r="I150" s="35">
        <f t="shared" si="26"/>
        <v>80000</v>
      </c>
      <c r="J150" s="36">
        <f t="shared" si="27"/>
        <v>0</v>
      </c>
      <c r="K150" s="48" t="s">
        <v>83</v>
      </c>
      <c r="L150" s="48" t="s">
        <v>83</v>
      </c>
      <c r="M150" s="38">
        <v>41820</v>
      </c>
      <c r="N150" s="48"/>
      <c r="O150" s="35">
        <v>80000</v>
      </c>
      <c r="P150" s="35"/>
      <c r="Q150" s="35"/>
      <c r="R150" s="35"/>
      <c r="S150" s="41"/>
    </row>
    <row r="151" spans="1:19" s="15" customFormat="1" ht="38.25" customHeight="1" x14ac:dyDescent="0.2">
      <c r="A151" s="43" t="s">
        <v>478</v>
      </c>
      <c r="B151" s="46" t="s">
        <v>45</v>
      </c>
      <c r="C151" s="44" t="s">
        <v>483</v>
      </c>
      <c r="D151" s="47" t="s">
        <v>65</v>
      </c>
      <c r="E151" s="46" t="s">
        <v>487</v>
      </c>
      <c r="F151" s="35">
        <v>95000</v>
      </c>
      <c r="G151" s="40">
        <v>95000</v>
      </c>
      <c r="H151" s="35">
        <v>0</v>
      </c>
      <c r="I151" s="35">
        <f t="shared" si="26"/>
        <v>95000</v>
      </c>
      <c r="J151" s="36">
        <f t="shared" si="27"/>
        <v>0</v>
      </c>
      <c r="K151" s="48" t="s">
        <v>83</v>
      </c>
      <c r="L151" s="48" t="s">
        <v>83</v>
      </c>
      <c r="M151" s="38">
        <v>41943</v>
      </c>
      <c r="N151" s="48"/>
      <c r="O151" s="35">
        <v>95000</v>
      </c>
      <c r="P151" s="35"/>
      <c r="Q151" s="35"/>
      <c r="R151" s="35"/>
      <c r="S151" s="41"/>
    </row>
    <row r="152" spans="1:19" s="15" customFormat="1" ht="26.25" customHeight="1" x14ac:dyDescent="0.2">
      <c r="A152" s="43" t="s">
        <v>488</v>
      </c>
      <c r="B152" s="46" t="s">
        <v>515</v>
      </c>
      <c r="C152" s="44" t="s">
        <v>518</v>
      </c>
      <c r="D152" s="47">
        <v>5927</v>
      </c>
      <c r="E152" s="46" t="s">
        <v>502</v>
      </c>
      <c r="F152" s="35">
        <v>25000</v>
      </c>
      <c r="G152" s="40">
        <v>25000</v>
      </c>
      <c r="H152" s="35">
        <v>0</v>
      </c>
      <c r="I152" s="35">
        <f t="shared" si="26"/>
        <v>25000</v>
      </c>
      <c r="J152" s="36">
        <f t="shared" si="27"/>
        <v>0</v>
      </c>
      <c r="K152" s="48" t="s">
        <v>83</v>
      </c>
      <c r="L152" s="48" t="s">
        <v>85</v>
      </c>
      <c r="M152" s="38">
        <v>41820</v>
      </c>
      <c r="N152" s="48"/>
      <c r="O152" s="35">
        <v>25000</v>
      </c>
      <c r="P152" s="35"/>
      <c r="Q152" s="35"/>
      <c r="R152" s="35"/>
      <c r="S152" s="41"/>
    </row>
    <row r="153" spans="1:19" s="15" customFormat="1" ht="18" customHeight="1" x14ac:dyDescent="0.2">
      <c r="A153" s="43" t="s">
        <v>489</v>
      </c>
      <c r="B153" s="46" t="s">
        <v>315</v>
      </c>
      <c r="C153" s="44" t="s">
        <v>519</v>
      </c>
      <c r="D153" s="47">
        <v>7073</v>
      </c>
      <c r="E153" s="46" t="s">
        <v>514</v>
      </c>
      <c r="F153" s="35">
        <v>6389</v>
      </c>
      <c r="G153" s="40">
        <v>6389</v>
      </c>
      <c r="H153" s="35">
        <v>0</v>
      </c>
      <c r="I153" s="35">
        <f t="shared" ref="I153:I165" si="28">G153+H153</f>
        <v>6389</v>
      </c>
      <c r="J153" s="36">
        <f t="shared" ref="J153:J165" si="29">IF(G153=0,100%,(I153-G153)/G153)</f>
        <v>0</v>
      </c>
      <c r="K153" s="48" t="s">
        <v>83</v>
      </c>
      <c r="L153" s="48" t="s">
        <v>83</v>
      </c>
      <c r="M153" s="38">
        <v>41486</v>
      </c>
      <c r="N153" s="48"/>
      <c r="O153" s="35">
        <v>6389</v>
      </c>
      <c r="P153" s="35"/>
      <c r="Q153" s="35"/>
      <c r="R153" s="35"/>
      <c r="S153" s="41"/>
    </row>
    <row r="154" spans="1:19" s="15" customFormat="1" ht="26.25" customHeight="1" x14ac:dyDescent="0.2">
      <c r="A154" s="43" t="s">
        <v>490</v>
      </c>
      <c r="B154" s="46" t="s">
        <v>41</v>
      </c>
      <c r="C154" s="44" t="s">
        <v>54</v>
      </c>
      <c r="D154" s="47">
        <v>7279</v>
      </c>
      <c r="E154" s="46" t="s">
        <v>503</v>
      </c>
      <c r="F154" s="35">
        <v>7071</v>
      </c>
      <c r="G154" s="40">
        <v>7071</v>
      </c>
      <c r="H154" s="35">
        <v>0</v>
      </c>
      <c r="I154" s="35">
        <f t="shared" si="28"/>
        <v>7071</v>
      </c>
      <c r="J154" s="36">
        <f t="shared" si="29"/>
        <v>0</v>
      </c>
      <c r="K154" s="48" t="s">
        <v>83</v>
      </c>
      <c r="L154" s="48" t="s">
        <v>85</v>
      </c>
      <c r="M154" s="38">
        <v>41820</v>
      </c>
      <c r="N154" s="48"/>
      <c r="O154" s="35">
        <v>7071</v>
      </c>
      <c r="P154" s="35"/>
      <c r="Q154" s="35"/>
      <c r="R154" s="35"/>
      <c r="S154" s="41"/>
    </row>
    <row r="155" spans="1:19" s="15" customFormat="1" ht="26.25" customHeight="1" x14ac:dyDescent="0.2">
      <c r="A155" s="43" t="s">
        <v>491</v>
      </c>
      <c r="B155" s="46" t="s">
        <v>516</v>
      </c>
      <c r="C155" s="44" t="s">
        <v>520</v>
      </c>
      <c r="D155" s="47">
        <v>7303</v>
      </c>
      <c r="E155" s="46" t="s">
        <v>504</v>
      </c>
      <c r="F155" s="35">
        <v>9750</v>
      </c>
      <c r="G155" s="40">
        <v>9750</v>
      </c>
      <c r="H155" s="35">
        <v>0</v>
      </c>
      <c r="I155" s="35">
        <f t="shared" si="28"/>
        <v>9750</v>
      </c>
      <c r="J155" s="36">
        <f t="shared" si="29"/>
        <v>0</v>
      </c>
      <c r="K155" s="48" t="s">
        <v>83</v>
      </c>
      <c r="L155" s="48" t="s">
        <v>83</v>
      </c>
      <c r="M155" s="38">
        <v>41820</v>
      </c>
      <c r="N155" s="48"/>
      <c r="O155" s="35">
        <v>9750</v>
      </c>
      <c r="P155" s="35"/>
      <c r="Q155" s="35"/>
      <c r="R155" s="35"/>
      <c r="S155" s="41"/>
    </row>
    <row r="156" spans="1:19" s="15" customFormat="1" ht="26.25" customHeight="1" x14ac:dyDescent="0.2">
      <c r="A156" s="43" t="s">
        <v>492</v>
      </c>
      <c r="B156" s="46" t="s">
        <v>517</v>
      </c>
      <c r="C156" s="44" t="s">
        <v>521</v>
      </c>
      <c r="D156" s="47">
        <v>7326</v>
      </c>
      <c r="E156" s="46" t="s">
        <v>505</v>
      </c>
      <c r="F156" s="35">
        <f>39912*3</f>
        <v>119736</v>
      </c>
      <c r="G156" s="40">
        <f>39912*3</f>
        <v>119736</v>
      </c>
      <c r="H156" s="35">
        <v>0</v>
      </c>
      <c r="I156" s="35">
        <f t="shared" si="28"/>
        <v>119736</v>
      </c>
      <c r="J156" s="36">
        <f t="shared" si="29"/>
        <v>0</v>
      </c>
      <c r="K156" s="48" t="s">
        <v>83</v>
      </c>
      <c r="L156" s="48" t="s">
        <v>83</v>
      </c>
      <c r="M156" s="38">
        <v>41726</v>
      </c>
      <c r="N156" s="48" t="s">
        <v>84</v>
      </c>
      <c r="O156" s="35">
        <v>39912</v>
      </c>
      <c r="P156" s="35">
        <v>39912</v>
      </c>
      <c r="Q156" s="35">
        <v>39912</v>
      </c>
      <c r="R156" s="35"/>
      <c r="S156" s="41"/>
    </row>
    <row r="157" spans="1:19" s="15" customFormat="1" ht="26.25" customHeight="1" x14ac:dyDescent="0.2">
      <c r="A157" s="43" t="s">
        <v>493</v>
      </c>
      <c r="B157" s="46" t="s">
        <v>39</v>
      </c>
      <c r="C157" s="44" t="s">
        <v>522</v>
      </c>
      <c r="D157" s="47">
        <v>7334</v>
      </c>
      <c r="E157" s="46" t="s">
        <v>506</v>
      </c>
      <c r="F157" s="35">
        <v>7125</v>
      </c>
      <c r="G157" s="40">
        <v>7125</v>
      </c>
      <c r="H157" s="35">
        <v>0</v>
      </c>
      <c r="I157" s="35">
        <f t="shared" si="28"/>
        <v>7125</v>
      </c>
      <c r="J157" s="36">
        <f t="shared" si="29"/>
        <v>0</v>
      </c>
      <c r="K157" s="48" t="s">
        <v>83</v>
      </c>
      <c r="L157" s="48" t="s">
        <v>83</v>
      </c>
      <c r="M157" s="38">
        <v>41561</v>
      </c>
      <c r="N157" s="48"/>
      <c r="O157" s="35">
        <v>7125</v>
      </c>
      <c r="P157" s="35"/>
      <c r="Q157" s="35"/>
      <c r="R157" s="35"/>
      <c r="S157" s="41"/>
    </row>
    <row r="158" spans="1:19" s="15" customFormat="1" ht="26.25" customHeight="1" x14ac:dyDescent="0.2">
      <c r="A158" s="43" t="s">
        <v>494</v>
      </c>
      <c r="B158" s="46" t="s">
        <v>39</v>
      </c>
      <c r="C158" s="44" t="s">
        <v>523</v>
      </c>
      <c r="D158" s="34">
        <v>7356</v>
      </c>
      <c r="E158" s="46" t="s">
        <v>507</v>
      </c>
      <c r="F158" s="35">
        <v>30000</v>
      </c>
      <c r="G158" s="40">
        <v>30000</v>
      </c>
      <c r="H158" s="35">
        <v>0</v>
      </c>
      <c r="I158" s="35">
        <f t="shared" si="28"/>
        <v>30000</v>
      </c>
      <c r="J158" s="36">
        <f t="shared" si="29"/>
        <v>0</v>
      </c>
      <c r="K158" s="48" t="s">
        <v>83</v>
      </c>
      <c r="L158" s="48" t="s">
        <v>85</v>
      </c>
      <c r="M158" s="38">
        <v>41820</v>
      </c>
      <c r="N158" s="48"/>
      <c r="O158" s="35">
        <v>30000</v>
      </c>
      <c r="P158" s="35"/>
      <c r="Q158" s="35"/>
      <c r="R158" s="35"/>
      <c r="S158" s="41"/>
    </row>
    <row r="159" spans="1:19" s="15" customFormat="1" ht="26.25" customHeight="1" x14ac:dyDescent="0.2">
      <c r="A159" s="43" t="s">
        <v>495</v>
      </c>
      <c r="B159" s="46" t="s">
        <v>41</v>
      </c>
      <c r="C159" s="44" t="s">
        <v>524</v>
      </c>
      <c r="D159" s="34">
        <v>7364</v>
      </c>
      <c r="E159" s="46" t="s">
        <v>508</v>
      </c>
      <c r="F159" s="35">
        <v>7374</v>
      </c>
      <c r="G159" s="40">
        <v>7374</v>
      </c>
      <c r="H159" s="35">
        <v>0</v>
      </c>
      <c r="I159" s="35">
        <f t="shared" si="28"/>
        <v>7374</v>
      </c>
      <c r="J159" s="36">
        <f t="shared" si="29"/>
        <v>0</v>
      </c>
      <c r="K159" s="48" t="s">
        <v>83</v>
      </c>
      <c r="L159" s="48" t="s">
        <v>85</v>
      </c>
      <c r="M159" s="38">
        <v>41926</v>
      </c>
      <c r="N159" s="48"/>
      <c r="O159" s="35">
        <v>7374</v>
      </c>
      <c r="P159" s="35"/>
      <c r="Q159" s="35"/>
      <c r="R159" s="35"/>
      <c r="S159" s="41"/>
    </row>
    <row r="160" spans="1:19" s="15" customFormat="1" ht="26.25" customHeight="1" x14ac:dyDescent="0.2">
      <c r="A160" s="43" t="s">
        <v>496</v>
      </c>
      <c r="B160" s="46" t="s">
        <v>42</v>
      </c>
      <c r="C160" s="44" t="s">
        <v>176</v>
      </c>
      <c r="D160" s="47" t="s">
        <v>529</v>
      </c>
      <c r="E160" s="46" t="s">
        <v>509</v>
      </c>
      <c r="F160" s="35">
        <v>30000</v>
      </c>
      <c r="G160" s="40">
        <v>7000</v>
      </c>
      <c r="H160" s="35">
        <v>30000</v>
      </c>
      <c r="I160" s="35">
        <f t="shared" si="28"/>
        <v>37000</v>
      </c>
      <c r="J160" s="36">
        <f t="shared" si="29"/>
        <v>4.2857142857142856</v>
      </c>
      <c r="K160" s="48" t="s">
        <v>83</v>
      </c>
      <c r="L160" s="48" t="s">
        <v>83</v>
      </c>
      <c r="M160" s="38">
        <v>41820</v>
      </c>
      <c r="N160" s="48" t="s">
        <v>86</v>
      </c>
      <c r="O160" s="35">
        <v>30000</v>
      </c>
      <c r="P160" s="35"/>
      <c r="Q160" s="35"/>
      <c r="R160" s="35"/>
      <c r="S160" s="41"/>
    </row>
    <row r="161" spans="1:19" s="15" customFormat="1" ht="26.25" customHeight="1" x14ac:dyDescent="0.2">
      <c r="A161" s="43" t="s">
        <v>497</v>
      </c>
      <c r="B161" s="46" t="s">
        <v>39</v>
      </c>
      <c r="C161" s="44" t="s">
        <v>176</v>
      </c>
      <c r="D161" s="47" t="s">
        <v>530</v>
      </c>
      <c r="E161" s="46" t="s">
        <v>510</v>
      </c>
      <c r="F161" s="35">
        <f>20000*3</f>
        <v>60000</v>
      </c>
      <c r="G161" s="40">
        <v>10000</v>
      </c>
      <c r="H161" s="35">
        <f>20000*3</f>
        <v>60000</v>
      </c>
      <c r="I161" s="35">
        <f t="shared" si="28"/>
        <v>70000</v>
      </c>
      <c r="J161" s="36">
        <f t="shared" si="29"/>
        <v>6</v>
      </c>
      <c r="K161" s="48" t="s">
        <v>83</v>
      </c>
      <c r="L161" s="48" t="s">
        <v>83</v>
      </c>
      <c r="M161" s="38">
        <v>41820</v>
      </c>
      <c r="N161" s="48" t="s">
        <v>86</v>
      </c>
      <c r="O161" s="35">
        <v>20000</v>
      </c>
      <c r="P161" s="35">
        <v>20000</v>
      </c>
      <c r="Q161" s="35">
        <v>20000</v>
      </c>
      <c r="R161" s="35"/>
      <c r="S161" s="41"/>
    </row>
    <row r="162" spans="1:19" s="15" customFormat="1" ht="26.25" customHeight="1" x14ac:dyDescent="0.2">
      <c r="A162" s="43" t="s">
        <v>498</v>
      </c>
      <c r="B162" s="46" t="s">
        <v>159</v>
      </c>
      <c r="C162" s="44" t="s">
        <v>210</v>
      </c>
      <c r="D162" s="34">
        <v>7382</v>
      </c>
      <c r="E162" s="46" t="s">
        <v>511</v>
      </c>
      <c r="F162" s="35">
        <f>36332*3</f>
        <v>108996</v>
      </c>
      <c r="G162" s="40">
        <f>36332*3</f>
        <v>108996</v>
      </c>
      <c r="H162" s="35">
        <v>0</v>
      </c>
      <c r="I162" s="35">
        <f t="shared" si="28"/>
        <v>108996</v>
      </c>
      <c r="J162" s="36">
        <f t="shared" si="29"/>
        <v>0</v>
      </c>
      <c r="K162" s="48" t="s">
        <v>83</v>
      </c>
      <c r="L162" s="48" t="s">
        <v>83</v>
      </c>
      <c r="M162" s="38">
        <v>41979</v>
      </c>
      <c r="N162" s="48" t="s">
        <v>84</v>
      </c>
      <c r="O162" s="35">
        <v>36332</v>
      </c>
      <c r="P162" s="35">
        <v>36332</v>
      </c>
      <c r="Q162" s="35">
        <v>36332</v>
      </c>
      <c r="R162" s="35"/>
      <c r="S162" s="41"/>
    </row>
    <row r="163" spans="1:19" s="15" customFormat="1" ht="26.25" customHeight="1" x14ac:dyDescent="0.2">
      <c r="A163" s="43" t="s">
        <v>499</v>
      </c>
      <c r="B163" s="46" t="s">
        <v>315</v>
      </c>
      <c r="C163" s="44" t="s">
        <v>525</v>
      </c>
      <c r="D163" s="34">
        <v>6711</v>
      </c>
      <c r="E163" s="46" t="s">
        <v>512</v>
      </c>
      <c r="F163" s="35">
        <v>25000</v>
      </c>
      <c r="G163" s="40">
        <v>4999</v>
      </c>
      <c r="H163" s="35">
        <f>10000+20000+25000</f>
        <v>55000</v>
      </c>
      <c r="I163" s="35">
        <f t="shared" si="28"/>
        <v>59999</v>
      </c>
      <c r="J163" s="36">
        <f t="shared" si="29"/>
        <v>11.002200440088018</v>
      </c>
      <c r="K163" s="48" t="s">
        <v>83</v>
      </c>
      <c r="L163" s="48" t="s">
        <v>83</v>
      </c>
      <c r="M163" s="52" t="s">
        <v>331</v>
      </c>
      <c r="N163" s="48" t="s">
        <v>86</v>
      </c>
      <c r="O163" s="35">
        <v>25000</v>
      </c>
      <c r="P163" s="35"/>
      <c r="Q163" s="35"/>
      <c r="R163" s="35"/>
      <c r="S163" s="41"/>
    </row>
    <row r="164" spans="1:19" s="15" customFormat="1" ht="26.25" customHeight="1" x14ac:dyDescent="0.2">
      <c r="A164" s="43" t="s">
        <v>500</v>
      </c>
      <c r="B164" s="46" t="s">
        <v>159</v>
      </c>
      <c r="C164" s="44" t="s">
        <v>526</v>
      </c>
      <c r="D164" s="34">
        <v>7389</v>
      </c>
      <c r="E164" s="46" t="s">
        <v>513</v>
      </c>
      <c r="F164" s="35">
        <f>12420+13500+14500</f>
        <v>40420</v>
      </c>
      <c r="G164" s="35">
        <f>12420+13500+14500</f>
        <v>40420</v>
      </c>
      <c r="H164" s="35">
        <v>0</v>
      </c>
      <c r="I164" s="35">
        <f t="shared" si="28"/>
        <v>40420</v>
      </c>
      <c r="J164" s="36">
        <f t="shared" si="29"/>
        <v>0</v>
      </c>
      <c r="K164" s="48" t="s">
        <v>83</v>
      </c>
      <c r="L164" s="48" t="s">
        <v>83</v>
      </c>
      <c r="M164" s="38">
        <v>41907</v>
      </c>
      <c r="N164" s="48" t="s">
        <v>84</v>
      </c>
      <c r="O164" s="35">
        <v>12420</v>
      </c>
      <c r="P164" s="35">
        <v>13500</v>
      </c>
      <c r="Q164" s="35">
        <v>14500</v>
      </c>
      <c r="R164" s="35"/>
      <c r="S164" s="41"/>
    </row>
    <row r="165" spans="1:19" s="15" customFormat="1" ht="38.25" customHeight="1" x14ac:dyDescent="0.2">
      <c r="A165" s="43" t="s">
        <v>501</v>
      </c>
      <c r="B165" s="46" t="s">
        <v>47</v>
      </c>
      <c r="C165" s="44" t="s">
        <v>527</v>
      </c>
      <c r="D165" s="47" t="s">
        <v>65</v>
      </c>
      <c r="E165" s="46" t="s">
        <v>528</v>
      </c>
      <c r="F165" s="35">
        <v>40000</v>
      </c>
      <c r="G165" s="40">
        <v>99000</v>
      </c>
      <c r="H165" s="35">
        <f>300000+40000</f>
        <v>340000</v>
      </c>
      <c r="I165" s="35">
        <f t="shared" si="28"/>
        <v>439000</v>
      </c>
      <c r="J165" s="36">
        <f t="shared" si="29"/>
        <v>3.4343434343434343</v>
      </c>
      <c r="K165" s="48" t="s">
        <v>83</v>
      </c>
      <c r="L165" s="48" t="s">
        <v>83</v>
      </c>
      <c r="M165" s="38">
        <v>41820</v>
      </c>
      <c r="N165" s="48" t="s">
        <v>86</v>
      </c>
      <c r="O165" s="35">
        <v>40000</v>
      </c>
      <c r="P165" s="35"/>
      <c r="Q165" s="35"/>
      <c r="R165" s="35"/>
      <c r="S165" s="41"/>
    </row>
    <row r="166" spans="1:19" s="15" customFormat="1" ht="26.25" customHeight="1" x14ac:dyDescent="0.2">
      <c r="A166" s="43" t="s">
        <v>531</v>
      </c>
      <c r="B166" s="46" t="s">
        <v>159</v>
      </c>
      <c r="C166" s="44" t="s">
        <v>535</v>
      </c>
      <c r="D166" s="34">
        <v>7386</v>
      </c>
      <c r="E166" s="46" t="s">
        <v>540</v>
      </c>
      <c r="F166" s="35">
        <v>99000</v>
      </c>
      <c r="G166" s="40">
        <v>99000</v>
      </c>
      <c r="H166" s="35">
        <v>0</v>
      </c>
      <c r="I166" s="35">
        <f>G166+H166</f>
        <v>99000</v>
      </c>
      <c r="J166" s="36">
        <f>IF(G166=0,100%,(I166-G166)/G166)</f>
        <v>0</v>
      </c>
      <c r="K166" s="48" t="s">
        <v>83</v>
      </c>
      <c r="L166" s="48" t="s">
        <v>83</v>
      </c>
      <c r="M166" s="38">
        <v>41820</v>
      </c>
      <c r="N166" s="48"/>
      <c r="O166" s="35">
        <v>99000</v>
      </c>
      <c r="P166" s="35"/>
      <c r="Q166" s="35"/>
      <c r="R166" s="35"/>
      <c r="S166" s="41"/>
    </row>
    <row r="167" spans="1:19" s="15" customFormat="1" ht="26.25" customHeight="1" x14ac:dyDescent="0.2">
      <c r="A167" s="43" t="s">
        <v>532</v>
      </c>
      <c r="B167" s="46" t="s">
        <v>430</v>
      </c>
      <c r="C167" s="44" t="s">
        <v>536</v>
      </c>
      <c r="D167" s="34">
        <v>7397</v>
      </c>
      <c r="E167" s="46" t="s">
        <v>541</v>
      </c>
      <c r="F167" s="35">
        <f>96200*3</f>
        <v>288600</v>
      </c>
      <c r="G167" s="40">
        <f>96200*3</f>
        <v>288600</v>
      </c>
      <c r="H167" s="35">
        <v>0</v>
      </c>
      <c r="I167" s="35">
        <f>G167+H167</f>
        <v>288600</v>
      </c>
      <c r="J167" s="36">
        <f>IF(G167=0,100%,(I167-G167)/G167)</f>
        <v>0</v>
      </c>
      <c r="K167" s="48" t="s">
        <v>83</v>
      </c>
      <c r="L167" s="48" t="s">
        <v>83</v>
      </c>
      <c r="M167" s="38">
        <v>41820</v>
      </c>
      <c r="N167" s="48" t="s">
        <v>84</v>
      </c>
      <c r="O167" s="35">
        <v>96200</v>
      </c>
      <c r="P167" s="35">
        <v>96200</v>
      </c>
      <c r="Q167" s="35">
        <v>96200</v>
      </c>
      <c r="R167" s="35"/>
      <c r="S167" s="41"/>
    </row>
    <row r="168" spans="1:19" s="15" customFormat="1" ht="26.25" customHeight="1" x14ac:dyDescent="0.2">
      <c r="A168" s="43" t="s">
        <v>533</v>
      </c>
      <c r="B168" s="46" t="s">
        <v>159</v>
      </c>
      <c r="C168" s="44" t="s">
        <v>537</v>
      </c>
      <c r="D168" s="34">
        <v>7441</v>
      </c>
      <c r="E168" s="46" t="s">
        <v>542</v>
      </c>
      <c r="F168" s="35">
        <v>99000</v>
      </c>
      <c r="G168" s="40">
        <v>99000</v>
      </c>
      <c r="H168" s="35">
        <v>0</v>
      </c>
      <c r="I168" s="35">
        <f>G168+H168</f>
        <v>99000</v>
      </c>
      <c r="J168" s="36">
        <f>IF(G168=0,100%,(I168-G168)/G168)</f>
        <v>0</v>
      </c>
      <c r="K168" s="48" t="s">
        <v>85</v>
      </c>
      <c r="L168" s="48" t="s">
        <v>85</v>
      </c>
      <c r="M168" s="38">
        <v>41820</v>
      </c>
      <c r="N168" s="48"/>
      <c r="O168" s="35">
        <v>99000</v>
      </c>
      <c r="P168" s="35"/>
      <c r="Q168" s="35"/>
      <c r="R168" s="35"/>
      <c r="S168" s="41"/>
    </row>
    <row r="169" spans="1:19" s="15" customFormat="1" ht="26.25" customHeight="1" x14ac:dyDescent="0.2">
      <c r="A169" s="43" t="s">
        <v>534</v>
      </c>
      <c r="B169" s="46" t="s">
        <v>41</v>
      </c>
      <c r="C169" s="44" t="s">
        <v>538</v>
      </c>
      <c r="D169" s="47" t="s">
        <v>539</v>
      </c>
      <c r="E169" s="46" t="s">
        <v>543</v>
      </c>
      <c r="F169" s="35">
        <f>25000*2</f>
        <v>50000</v>
      </c>
      <c r="G169" s="40">
        <v>22330</v>
      </c>
      <c r="H169" s="35">
        <f>25000+25000+25000</f>
        <v>75000</v>
      </c>
      <c r="I169" s="35">
        <f>G169+H169</f>
        <v>97330</v>
      </c>
      <c r="J169" s="36">
        <f>IF(G169=0,100%,(I169-G169)/G169)</f>
        <v>3.3587102552619794</v>
      </c>
      <c r="K169" s="48" t="s">
        <v>83</v>
      </c>
      <c r="L169" s="48" t="s">
        <v>83</v>
      </c>
      <c r="M169" s="38">
        <v>41820</v>
      </c>
      <c r="N169" s="48" t="s">
        <v>86</v>
      </c>
      <c r="O169" s="35">
        <v>25000</v>
      </c>
      <c r="P169" s="35">
        <v>25000</v>
      </c>
      <c r="Q169" s="35"/>
      <c r="R169" s="35"/>
      <c r="S169" s="41"/>
    </row>
    <row r="170" spans="1:19" s="15" customFormat="1" ht="26.25" customHeight="1" x14ac:dyDescent="0.2">
      <c r="A170" s="43" t="s">
        <v>544</v>
      </c>
      <c r="B170" s="46" t="s">
        <v>557</v>
      </c>
      <c r="C170" s="44" t="s">
        <v>560</v>
      </c>
      <c r="D170" s="47">
        <v>7465</v>
      </c>
      <c r="E170" s="46" t="s">
        <v>571</v>
      </c>
      <c r="F170" s="35">
        <f>36800*3</f>
        <v>110400</v>
      </c>
      <c r="G170" s="40">
        <f>36800*3</f>
        <v>110400</v>
      </c>
      <c r="H170" s="35">
        <v>0</v>
      </c>
      <c r="I170" s="35">
        <f t="shared" ref="I170:I182" si="30">G170+H170</f>
        <v>110400</v>
      </c>
      <c r="J170" s="36">
        <f t="shared" ref="J170:J182" si="31">IF(G170=0,100%,(I170-G170)/G170)</f>
        <v>0</v>
      </c>
      <c r="K170" s="48" t="s">
        <v>85</v>
      </c>
      <c r="L170" s="48" t="s">
        <v>83</v>
      </c>
      <c r="M170" s="38">
        <v>41820</v>
      </c>
      <c r="N170" s="48" t="s">
        <v>84</v>
      </c>
      <c r="O170" s="35">
        <v>36800</v>
      </c>
      <c r="P170" s="35">
        <v>36800</v>
      </c>
      <c r="Q170" s="35">
        <v>36800</v>
      </c>
      <c r="R170" s="35"/>
      <c r="S170" s="41"/>
    </row>
    <row r="171" spans="1:19" s="15" customFormat="1" ht="18" customHeight="1" x14ac:dyDescent="0.2">
      <c r="A171" s="43" t="s">
        <v>545</v>
      </c>
      <c r="B171" s="46" t="s">
        <v>38</v>
      </c>
      <c r="C171" s="44" t="s">
        <v>561</v>
      </c>
      <c r="D171" s="47">
        <v>7322</v>
      </c>
      <c r="E171" s="46" t="s">
        <v>597</v>
      </c>
      <c r="F171" s="35">
        <v>29760</v>
      </c>
      <c r="G171" s="40">
        <v>29760</v>
      </c>
      <c r="H171" s="35">
        <v>0</v>
      </c>
      <c r="I171" s="35">
        <f t="shared" si="30"/>
        <v>29760</v>
      </c>
      <c r="J171" s="36">
        <f t="shared" si="31"/>
        <v>0</v>
      </c>
      <c r="K171" s="48" t="s">
        <v>83</v>
      </c>
      <c r="L171" s="48" t="s">
        <v>83</v>
      </c>
      <c r="M171" s="38">
        <v>41574</v>
      </c>
      <c r="N171" s="48"/>
      <c r="O171" s="35">
        <v>29760</v>
      </c>
      <c r="P171" s="35"/>
      <c r="Q171" s="35"/>
      <c r="R171" s="35"/>
      <c r="S171" s="41"/>
    </row>
    <row r="172" spans="1:19" s="15" customFormat="1" ht="18" customHeight="1" x14ac:dyDescent="0.2">
      <c r="A172" s="43" t="s">
        <v>546</v>
      </c>
      <c r="B172" s="46" t="s">
        <v>38</v>
      </c>
      <c r="C172" s="44" t="s">
        <v>562</v>
      </c>
      <c r="D172" s="47">
        <v>7323</v>
      </c>
      <c r="E172" s="46" t="s">
        <v>597</v>
      </c>
      <c r="F172" s="35">
        <v>13888</v>
      </c>
      <c r="G172" s="40">
        <v>13888</v>
      </c>
      <c r="H172" s="35">
        <v>0</v>
      </c>
      <c r="I172" s="35">
        <f t="shared" si="30"/>
        <v>13888</v>
      </c>
      <c r="J172" s="36">
        <f t="shared" si="31"/>
        <v>0</v>
      </c>
      <c r="K172" s="48" t="s">
        <v>83</v>
      </c>
      <c r="L172" s="48" t="s">
        <v>83</v>
      </c>
      <c r="M172" s="38">
        <v>41574</v>
      </c>
      <c r="N172" s="48"/>
      <c r="O172" s="35">
        <v>13888</v>
      </c>
      <c r="P172" s="35"/>
      <c r="Q172" s="35"/>
      <c r="R172" s="35"/>
      <c r="S172" s="41"/>
    </row>
    <row r="173" spans="1:19" s="15" customFormat="1" ht="26.25" customHeight="1" x14ac:dyDescent="0.2">
      <c r="A173" s="43" t="s">
        <v>547</v>
      </c>
      <c r="B173" s="46" t="s">
        <v>41</v>
      </c>
      <c r="C173" s="44" t="s">
        <v>563</v>
      </c>
      <c r="D173" s="47">
        <v>7424</v>
      </c>
      <c r="E173" s="46" t="s">
        <v>572</v>
      </c>
      <c r="F173" s="35">
        <v>7649</v>
      </c>
      <c r="G173" s="40">
        <v>7649</v>
      </c>
      <c r="H173" s="35">
        <v>0</v>
      </c>
      <c r="I173" s="35">
        <f t="shared" si="30"/>
        <v>7649</v>
      </c>
      <c r="J173" s="36">
        <f t="shared" si="31"/>
        <v>0</v>
      </c>
      <c r="K173" s="48" t="s">
        <v>83</v>
      </c>
      <c r="L173" s="48" t="s">
        <v>85</v>
      </c>
      <c r="M173" s="38">
        <v>41820</v>
      </c>
      <c r="N173" s="48"/>
      <c r="O173" s="35">
        <v>7649</v>
      </c>
      <c r="P173" s="35"/>
      <c r="Q173" s="35"/>
      <c r="R173" s="35"/>
      <c r="S173" s="41"/>
    </row>
    <row r="174" spans="1:19" s="15" customFormat="1" ht="26.25" customHeight="1" x14ac:dyDescent="0.2">
      <c r="A174" s="43" t="s">
        <v>548</v>
      </c>
      <c r="B174" s="46" t="s">
        <v>41</v>
      </c>
      <c r="C174" s="44" t="s">
        <v>54</v>
      </c>
      <c r="D174" s="47">
        <v>7431</v>
      </c>
      <c r="E174" s="46" t="s">
        <v>573</v>
      </c>
      <c r="F174" s="35">
        <v>18529</v>
      </c>
      <c r="G174" s="40">
        <v>18529</v>
      </c>
      <c r="H174" s="35">
        <v>0</v>
      </c>
      <c r="I174" s="35">
        <f t="shared" si="30"/>
        <v>18529</v>
      </c>
      <c r="J174" s="36">
        <f t="shared" si="31"/>
        <v>0</v>
      </c>
      <c r="K174" s="48" t="s">
        <v>83</v>
      </c>
      <c r="L174" s="48" t="s">
        <v>85</v>
      </c>
      <c r="M174" s="38">
        <v>41820</v>
      </c>
      <c r="N174" s="48"/>
      <c r="O174" s="35">
        <v>18529</v>
      </c>
      <c r="P174" s="35"/>
      <c r="Q174" s="35"/>
      <c r="R174" s="35"/>
      <c r="S174" s="41"/>
    </row>
    <row r="175" spans="1:19" s="15" customFormat="1" ht="26.25" customHeight="1" x14ac:dyDescent="0.2">
      <c r="A175" s="43" t="s">
        <v>549</v>
      </c>
      <c r="B175" s="46" t="s">
        <v>41</v>
      </c>
      <c r="C175" s="44" t="s">
        <v>254</v>
      </c>
      <c r="D175" s="47">
        <v>7433</v>
      </c>
      <c r="E175" s="46" t="s">
        <v>574</v>
      </c>
      <c r="F175" s="35">
        <v>10995</v>
      </c>
      <c r="G175" s="40">
        <v>10995</v>
      </c>
      <c r="H175" s="35">
        <v>0</v>
      </c>
      <c r="I175" s="35">
        <f t="shared" si="30"/>
        <v>10995</v>
      </c>
      <c r="J175" s="36">
        <f t="shared" si="31"/>
        <v>0</v>
      </c>
      <c r="K175" s="48" t="s">
        <v>83</v>
      </c>
      <c r="L175" s="48" t="s">
        <v>85</v>
      </c>
      <c r="M175" s="38">
        <v>41820</v>
      </c>
      <c r="N175" s="48"/>
      <c r="O175" s="35">
        <v>10995</v>
      </c>
      <c r="P175" s="35"/>
      <c r="Q175" s="35"/>
      <c r="R175" s="35"/>
      <c r="S175" s="41"/>
    </row>
    <row r="176" spans="1:19" s="15" customFormat="1" ht="26.25" customHeight="1" x14ac:dyDescent="0.2">
      <c r="A176" s="43" t="s">
        <v>550</v>
      </c>
      <c r="B176" s="46" t="s">
        <v>41</v>
      </c>
      <c r="C176" s="44" t="s">
        <v>564</v>
      </c>
      <c r="D176" s="47">
        <v>7436</v>
      </c>
      <c r="E176" s="46" t="s">
        <v>575</v>
      </c>
      <c r="F176" s="35">
        <v>32992</v>
      </c>
      <c r="G176" s="40">
        <v>32992</v>
      </c>
      <c r="H176" s="35">
        <v>0</v>
      </c>
      <c r="I176" s="35">
        <f t="shared" si="30"/>
        <v>32992</v>
      </c>
      <c r="J176" s="36">
        <f t="shared" si="31"/>
        <v>0</v>
      </c>
      <c r="K176" s="48" t="s">
        <v>83</v>
      </c>
      <c r="L176" s="48" t="s">
        <v>85</v>
      </c>
      <c r="M176" s="38">
        <v>41820</v>
      </c>
      <c r="N176" s="48"/>
      <c r="O176" s="35">
        <v>32992</v>
      </c>
      <c r="P176" s="35"/>
      <c r="Q176" s="35"/>
      <c r="R176" s="35"/>
      <c r="S176" s="41"/>
    </row>
    <row r="177" spans="1:19" s="15" customFormat="1" ht="26.25" customHeight="1" x14ac:dyDescent="0.2">
      <c r="A177" s="43" t="s">
        <v>551</v>
      </c>
      <c r="B177" s="46" t="s">
        <v>159</v>
      </c>
      <c r="C177" s="44" t="s">
        <v>565</v>
      </c>
      <c r="D177" s="47">
        <v>7439</v>
      </c>
      <c r="E177" s="46" t="s">
        <v>576</v>
      </c>
      <c r="F177" s="35">
        <v>9250</v>
      </c>
      <c r="G177" s="40">
        <v>9250</v>
      </c>
      <c r="H177" s="35">
        <v>0</v>
      </c>
      <c r="I177" s="35">
        <f t="shared" si="30"/>
        <v>9250</v>
      </c>
      <c r="J177" s="36">
        <f t="shared" si="31"/>
        <v>0</v>
      </c>
      <c r="K177" s="48" t="s">
        <v>83</v>
      </c>
      <c r="L177" s="48" t="s">
        <v>83</v>
      </c>
      <c r="M177" s="38">
        <v>41943</v>
      </c>
      <c r="N177" s="48"/>
      <c r="O177" s="35">
        <v>9250</v>
      </c>
      <c r="P177" s="35"/>
      <c r="Q177" s="35"/>
      <c r="R177" s="35"/>
      <c r="S177" s="41"/>
    </row>
    <row r="178" spans="1:19" s="15" customFormat="1" ht="26.25" customHeight="1" x14ac:dyDescent="0.2">
      <c r="A178" s="43" t="s">
        <v>552</v>
      </c>
      <c r="B178" s="46" t="s">
        <v>159</v>
      </c>
      <c r="C178" s="44" t="s">
        <v>566</v>
      </c>
      <c r="D178" s="47">
        <v>7448</v>
      </c>
      <c r="E178" s="46" t="s">
        <v>577</v>
      </c>
      <c r="F178" s="35">
        <v>32250</v>
      </c>
      <c r="G178" s="40">
        <v>32250</v>
      </c>
      <c r="H178" s="35">
        <v>0</v>
      </c>
      <c r="I178" s="35">
        <f t="shared" si="30"/>
        <v>32250</v>
      </c>
      <c r="J178" s="36">
        <f t="shared" si="31"/>
        <v>0</v>
      </c>
      <c r="K178" s="48" t="s">
        <v>83</v>
      </c>
      <c r="L178" s="48" t="s">
        <v>83</v>
      </c>
      <c r="M178" s="38">
        <v>41820</v>
      </c>
      <c r="N178" s="48"/>
      <c r="O178" s="35">
        <v>32250</v>
      </c>
      <c r="P178" s="35"/>
      <c r="Q178" s="35"/>
      <c r="R178" s="35"/>
      <c r="S178" s="41"/>
    </row>
    <row r="179" spans="1:19" s="15" customFormat="1" ht="26.25" customHeight="1" x14ac:dyDescent="0.2">
      <c r="A179" s="43" t="s">
        <v>553</v>
      </c>
      <c r="B179" s="46" t="s">
        <v>38</v>
      </c>
      <c r="C179" s="44" t="s">
        <v>567</v>
      </c>
      <c r="D179" s="47">
        <v>7457</v>
      </c>
      <c r="E179" s="46" t="s">
        <v>578</v>
      </c>
      <c r="F179" s="35">
        <f>9500*3</f>
        <v>28500</v>
      </c>
      <c r="G179" s="40">
        <f>9500*3</f>
        <v>28500</v>
      </c>
      <c r="H179" s="35">
        <v>0</v>
      </c>
      <c r="I179" s="35">
        <f t="shared" si="30"/>
        <v>28500</v>
      </c>
      <c r="J179" s="36">
        <f t="shared" si="31"/>
        <v>0</v>
      </c>
      <c r="K179" s="48" t="s">
        <v>83</v>
      </c>
      <c r="L179" s="48" t="s">
        <v>83</v>
      </c>
      <c r="M179" s="38">
        <v>41820</v>
      </c>
      <c r="N179" s="48" t="s">
        <v>84</v>
      </c>
      <c r="O179" s="35">
        <v>9500</v>
      </c>
      <c r="P179" s="35">
        <v>9500</v>
      </c>
      <c r="Q179" s="35">
        <v>9500</v>
      </c>
      <c r="R179" s="35"/>
      <c r="S179" s="41"/>
    </row>
    <row r="180" spans="1:19" s="15" customFormat="1" ht="18" customHeight="1" x14ac:dyDescent="0.2">
      <c r="A180" s="43" t="s">
        <v>554</v>
      </c>
      <c r="B180" s="46" t="s">
        <v>94</v>
      </c>
      <c r="C180" s="44" t="s">
        <v>568</v>
      </c>
      <c r="D180" s="47">
        <v>7471</v>
      </c>
      <c r="E180" s="46" t="s">
        <v>579</v>
      </c>
      <c r="F180" s="35">
        <f>10000*3</f>
        <v>30000</v>
      </c>
      <c r="G180" s="40">
        <f>10000*3</f>
        <v>30000</v>
      </c>
      <c r="H180" s="35">
        <v>0</v>
      </c>
      <c r="I180" s="35">
        <f t="shared" si="30"/>
        <v>30000</v>
      </c>
      <c r="J180" s="36">
        <f t="shared" si="31"/>
        <v>0</v>
      </c>
      <c r="K180" s="48" t="s">
        <v>83</v>
      </c>
      <c r="L180" s="48" t="s">
        <v>85</v>
      </c>
      <c r="M180" s="38">
        <v>41820</v>
      </c>
      <c r="N180" s="48" t="s">
        <v>84</v>
      </c>
      <c r="O180" s="35">
        <v>10000</v>
      </c>
      <c r="P180" s="35">
        <v>10000</v>
      </c>
      <c r="Q180" s="35">
        <v>10000</v>
      </c>
      <c r="R180" s="35"/>
      <c r="S180" s="41"/>
    </row>
    <row r="181" spans="1:19" s="15" customFormat="1" ht="26.25" customHeight="1" x14ac:dyDescent="0.2">
      <c r="A181" s="43" t="s">
        <v>555</v>
      </c>
      <c r="B181" s="46" t="s">
        <v>558</v>
      </c>
      <c r="C181" s="44" t="s">
        <v>569</v>
      </c>
      <c r="D181" s="47">
        <v>7572</v>
      </c>
      <c r="E181" s="46" t="s">
        <v>580</v>
      </c>
      <c r="F181" s="35">
        <v>15000</v>
      </c>
      <c r="G181" s="40">
        <v>15000</v>
      </c>
      <c r="H181" s="35">
        <v>0</v>
      </c>
      <c r="I181" s="35">
        <f t="shared" si="30"/>
        <v>15000</v>
      </c>
      <c r="J181" s="36">
        <f t="shared" si="31"/>
        <v>0</v>
      </c>
      <c r="K181" s="48" t="s">
        <v>83</v>
      </c>
      <c r="L181" s="48" t="s">
        <v>83</v>
      </c>
      <c r="M181" s="38">
        <v>41670</v>
      </c>
      <c r="N181" s="48"/>
      <c r="O181" s="35">
        <v>15000</v>
      </c>
      <c r="P181" s="35"/>
      <c r="Q181" s="35"/>
      <c r="R181" s="35"/>
      <c r="S181" s="41"/>
    </row>
    <row r="182" spans="1:19" s="15" customFormat="1" ht="26.25" customHeight="1" x14ac:dyDescent="0.2">
      <c r="A182" s="43" t="s">
        <v>556</v>
      </c>
      <c r="B182" s="46" t="s">
        <v>559</v>
      </c>
      <c r="C182" s="44" t="s">
        <v>570</v>
      </c>
      <c r="D182" s="47">
        <v>7741</v>
      </c>
      <c r="E182" s="46" t="s">
        <v>581</v>
      </c>
      <c r="F182" s="35">
        <v>27990</v>
      </c>
      <c r="G182" s="40">
        <v>27990</v>
      </c>
      <c r="H182" s="35">
        <v>0</v>
      </c>
      <c r="I182" s="35">
        <f t="shared" si="30"/>
        <v>27990</v>
      </c>
      <c r="J182" s="36">
        <f t="shared" si="31"/>
        <v>0</v>
      </c>
      <c r="K182" s="48" t="s">
        <v>83</v>
      </c>
      <c r="L182" s="48" t="s">
        <v>83</v>
      </c>
      <c r="M182" s="38">
        <v>41759</v>
      </c>
      <c r="N182" s="48"/>
      <c r="O182" s="35">
        <v>27990</v>
      </c>
      <c r="P182" s="35"/>
      <c r="Q182" s="35"/>
      <c r="R182" s="35"/>
      <c r="S182" s="41"/>
    </row>
    <row r="183" spans="1:19" s="15" customFormat="1" ht="26.25" customHeight="1" x14ac:dyDescent="0.2">
      <c r="A183" s="43" t="s">
        <v>582</v>
      </c>
      <c r="B183" s="46" t="s">
        <v>159</v>
      </c>
      <c r="C183" s="44" t="s">
        <v>587</v>
      </c>
      <c r="D183" s="47">
        <v>7508</v>
      </c>
      <c r="E183" s="46" t="s">
        <v>591</v>
      </c>
      <c r="F183" s="35">
        <v>30000</v>
      </c>
      <c r="G183" s="40">
        <v>30000</v>
      </c>
      <c r="H183" s="35">
        <v>0</v>
      </c>
      <c r="I183" s="35">
        <f>G183+H183</f>
        <v>30000</v>
      </c>
      <c r="J183" s="36">
        <f>IF(G183=0,100%,(I183-G183)/G183)</f>
        <v>0</v>
      </c>
      <c r="K183" s="48" t="s">
        <v>83</v>
      </c>
      <c r="L183" s="48" t="s">
        <v>83</v>
      </c>
      <c r="M183" s="38">
        <v>41957</v>
      </c>
      <c r="N183" s="48"/>
      <c r="O183" s="35">
        <v>30000</v>
      </c>
      <c r="P183" s="35"/>
      <c r="Q183" s="35"/>
      <c r="R183" s="35"/>
      <c r="S183" s="41"/>
    </row>
    <row r="184" spans="1:19" s="15" customFormat="1" ht="26.25" customHeight="1" x14ac:dyDescent="0.2">
      <c r="A184" s="43" t="s">
        <v>583</v>
      </c>
      <c r="B184" s="46" t="s">
        <v>42</v>
      </c>
      <c r="C184" s="44" t="s">
        <v>588</v>
      </c>
      <c r="D184" s="47">
        <v>7531</v>
      </c>
      <c r="E184" s="46" t="s">
        <v>595</v>
      </c>
      <c r="F184" s="35">
        <v>14525</v>
      </c>
      <c r="G184" s="40">
        <v>14525</v>
      </c>
      <c r="H184" s="35">
        <v>0</v>
      </c>
      <c r="I184" s="35">
        <f>G184+H184</f>
        <v>14525</v>
      </c>
      <c r="J184" s="36">
        <f>IF(G184=0,100%,(I184-G184)/G184)</f>
        <v>0</v>
      </c>
      <c r="K184" s="48" t="s">
        <v>83</v>
      </c>
      <c r="L184" s="48" t="s">
        <v>83</v>
      </c>
      <c r="M184" s="38">
        <v>41486</v>
      </c>
      <c r="N184" s="48"/>
      <c r="O184" s="35">
        <v>14525</v>
      </c>
      <c r="P184" s="35"/>
      <c r="Q184" s="35"/>
      <c r="R184" s="35"/>
      <c r="S184" s="41"/>
    </row>
    <row r="185" spans="1:19" s="15" customFormat="1" ht="26.25" customHeight="1" x14ac:dyDescent="0.2">
      <c r="A185" s="43" t="s">
        <v>584</v>
      </c>
      <c r="B185" s="46" t="s">
        <v>39</v>
      </c>
      <c r="C185" s="44" t="s">
        <v>439</v>
      </c>
      <c r="D185" s="47">
        <v>7560</v>
      </c>
      <c r="E185" s="46" t="s">
        <v>592</v>
      </c>
      <c r="F185" s="35">
        <v>5839</v>
      </c>
      <c r="G185" s="40">
        <v>5839</v>
      </c>
      <c r="H185" s="35">
        <v>0</v>
      </c>
      <c r="I185" s="35">
        <f>G185+H185</f>
        <v>5839</v>
      </c>
      <c r="J185" s="36">
        <f>IF(G185=0,100%,(I185-G185)/G185)</f>
        <v>0</v>
      </c>
      <c r="K185" s="48" t="s">
        <v>83</v>
      </c>
      <c r="L185" s="48" t="s">
        <v>83</v>
      </c>
      <c r="M185" s="38">
        <v>41547</v>
      </c>
      <c r="N185" s="48"/>
      <c r="O185" s="35">
        <v>5839</v>
      </c>
      <c r="P185" s="35"/>
      <c r="Q185" s="35"/>
      <c r="R185" s="35"/>
      <c r="S185" s="41"/>
    </row>
    <row r="186" spans="1:19" s="15" customFormat="1" ht="26.25" customHeight="1" x14ac:dyDescent="0.2">
      <c r="A186" s="43" t="s">
        <v>585</v>
      </c>
      <c r="B186" s="46" t="s">
        <v>159</v>
      </c>
      <c r="C186" s="44" t="s">
        <v>589</v>
      </c>
      <c r="D186" s="47">
        <v>7565</v>
      </c>
      <c r="E186" s="46" t="s">
        <v>594</v>
      </c>
      <c r="F186" s="35">
        <f>34560*3</f>
        <v>103680</v>
      </c>
      <c r="G186" s="40">
        <f>34560*3</f>
        <v>103680</v>
      </c>
      <c r="H186" s="35">
        <v>0</v>
      </c>
      <c r="I186" s="35">
        <f>G186+H186</f>
        <v>103680</v>
      </c>
      <c r="J186" s="36">
        <f>IF(G186=0,100%,(I186-G186)/G186)</f>
        <v>0</v>
      </c>
      <c r="K186" s="48" t="s">
        <v>83</v>
      </c>
      <c r="L186" s="48" t="s">
        <v>83</v>
      </c>
      <c r="M186" s="38">
        <v>41989</v>
      </c>
      <c r="N186" s="48" t="s">
        <v>84</v>
      </c>
      <c r="O186" s="35">
        <v>34560</v>
      </c>
      <c r="P186" s="35">
        <v>34560</v>
      </c>
      <c r="Q186" s="35">
        <v>34560</v>
      </c>
      <c r="R186" s="35"/>
      <c r="S186" s="41"/>
    </row>
    <row r="187" spans="1:19" s="15" customFormat="1" ht="26.25" customHeight="1" x14ac:dyDescent="0.2">
      <c r="A187" s="43" t="s">
        <v>586</v>
      </c>
      <c r="B187" s="46" t="s">
        <v>125</v>
      </c>
      <c r="C187" s="44" t="s">
        <v>590</v>
      </c>
      <c r="D187" s="47">
        <v>7583</v>
      </c>
      <c r="E187" s="46" t="s">
        <v>593</v>
      </c>
      <c r="F187" s="35">
        <f>6800*3</f>
        <v>20400</v>
      </c>
      <c r="G187" s="40">
        <f>6800*3</f>
        <v>20400</v>
      </c>
      <c r="H187" s="35">
        <v>0</v>
      </c>
      <c r="I187" s="35">
        <f>G187+H187</f>
        <v>20400</v>
      </c>
      <c r="J187" s="36">
        <f>IF(G187=0,100%,(I187-G187)/G187)</f>
        <v>0</v>
      </c>
      <c r="K187" s="48" t="s">
        <v>83</v>
      </c>
      <c r="L187" s="48" t="s">
        <v>83</v>
      </c>
      <c r="M187" s="38">
        <v>41982</v>
      </c>
      <c r="N187" s="48" t="s">
        <v>84</v>
      </c>
      <c r="O187" s="35">
        <v>6800</v>
      </c>
      <c r="P187" s="35">
        <v>6800</v>
      </c>
      <c r="Q187" s="35">
        <v>6800</v>
      </c>
      <c r="R187" s="35"/>
      <c r="S187" s="41"/>
    </row>
    <row r="188" spans="1:19" s="15" customFormat="1" ht="26.25" customHeight="1" x14ac:dyDescent="0.2">
      <c r="A188" s="43" t="s">
        <v>604</v>
      </c>
      <c r="B188" s="46" t="s">
        <v>38</v>
      </c>
      <c r="C188" s="44" t="s">
        <v>610</v>
      </c>
      <c r="D188" s="47">
        <v>7324</v>
      </c>
      <c r="E188" s="46" t="s">
        <v>598</v>
      </c>
      <c r="F188" s="35">
        <v>59520</v>
      </c>
      <c r="G188" s="40">
        <v>59520</v>
      </c>
      <c r="H188" s="35">
        <v>0</v>
      </c>
      <c r="I188" s="35">
        <f t="shared" ref="I188:I193" si="32">G188+H188</f>
        <v>59520</v>
      </c>
      <c r="J188" s="36">
        <f t="shared" ref="J188:J193" si="33">IF(G188=0,100%,(I188-G188)/G188)</f>
        <v>0</v>
      </c>
      <c r="K188" s="48" t="s">
        <v>83</v>
      </c>
      <c r="L188" s="48" t="s">
        <v>83</v>
      </c>
      <c r="M188" s="38">
        <v>41574</v>
      </c>
      <c r="N188" s="48"/>
      <c r="O188" s="35">
        <v>59520</v>
      </c>
      <c r="P188" s="35"/>
      <c r="Q188" s="35"/>
      <c r="R188" s="35"/>
      <c r="S188" s="41"/>
    </row>
    <row r="189" spans="1:19" s="15" customFormat="1" ht="26.25" customHeight="1" x14ac:dyDescent="0.2">
      <c r="A189" s="43" t="s">
        <v>605</v>
      </c>
      <c r="B189" s="46" t="s">
        <v>315</v>
      </c>
      <c r="C189" s="44" t="s">
        <v>611</v>
      </c>
      <c r="D189" s="47">
        <v>7449</v>
      </c>
      <c r="E189" s="46" t="s">
        <v>603</v>
      </c>
      <c r="F189" s="35">
        <v>99000</v>
      </c>
      <c r="G189" s="40">
        <v>99000</v>
      </c>
      <c r="H189" s="35">
        <v>0</v>
      </c>
      <c r="I189" s="35">
        <f t="shared" si="32"/>
        <v>99000</v>
      </c>
      <c r="J189" s="36">
        <f t="shared" si="33"/>
        <v>0</v>
      </c>
      <c r="K189" s="48" t="s">
        <v>83</v>
      </c>
      <c r="L189" s="48" t="s">
        <v>83</v>
      </c>
      <c r="M189" s="38">
        <v>42291</v>
      </c>
      <c r="N189" s="48"/>
      <c r="O189" s="35">
        <v>99000</v>
      </c>
      <c r="P189" s="35"/>
      <c r="Q189" s="35"/>
      <c r="R189" s="35"/>
      <c r="S189" s="41"/>
    </row>
    <row r="190" spans="1:19" s="15" customFormat="1" ht="26.25" customHeight="1" x14ac:dyDescent="0.2">
      <c r="A190" s="43" t="s">
        <v>606</v>
      </c>
      <c r="B190" s="46" t="s">
        <v>42</v>
      </c>
      <c r="C190" s="44" t="s">
        <v>55</v>
      </c>
      <c r="D190" s="47">
        <v>7553</v>
      </c>
      <c r="E190" s="46" t="s">
        <v>599</v>
      </c>
      <c r="F190" s="35">
        <v>20300</v>
      </c>
      <c r="G190" s="40">
        <v>33600</v>
      </c>
      <c r="H190" s="35">
        <v>20300</v>
      </c>
      <c r="I190" s="35">
        <f t="shared" si="32"/>
        <v>53900</v>
      </c>
      <c r="J190" s="36">
        <f t="shared" si="33"/>
        <v>0.60416666666666663</v>
      </c>
      <c r="K190" s="48" t="s">
        <v>83</v>
      </c>
      <c r="L190" s="48" t="s">
        <v>83</v>
      </c>
      <c r="M190" s="38">
        <v>41729</v>
      </c>
      <c r="N190" s="48" t="s">
        <v>86</v>
      </c>
      <c r="O190" s="35">
        <v>20300</v>
      </c>
      <c r="P190" s="35"/>
      <c r="Q190" s="35"/>
      <c r="R190" s="35"/>
      <c r="S190" s="41"/>
    </row>
    <row r="191" spans="1:19" s="15" customFormat="1" ht="26.25" customHeight="1" x14ac:dyDescent="0.2">
      <c r="A191" s="43" t="s">
        <v>607</v>
      </c>
      <c r="B191" s="46" t="s">
        <v>159</v>
      </c>
      <c r="C191" s="44" t="s">
        <v>286</v>
      </c>
      <c r="D191" s="47">
        <v>7569</v>
      </c>
      <c r="E191" s="46" t="s">
        <v>600</v>
      </c>
      <c r="F191" s="35">
        <v>99000</v>
      </c>
      <c r="G191" s="40">
        <v>99000</v>
      </c>
      <c r="H191" s="35">
        <v>0</v>
      </c>
      <c r="I191" s="35">
        <f t="shared" si="32"/>
        <v>99000</v>
      </c>
      <c r="J191" s="36">
        <f t="shared" si="33"/>
        <v>0</v>
      </c>
      <c r="K191" s="48" t="s">
        <v>83</v>
      </c>
      <c r="L191" s="48" t="s">
        <v>83</v>
      </c>
      <c r="M191" s="38">
        <v>41985</v>
      </c>
      <c r="N191" s="48"/>
      <c r="O191" s="35">
        <v>99000</v>
      </c>
      <c r="P191" s="35"/>
      <c r="Q191" s="35"/>
      <c r="R191" s="35"/>
      <c r="S191" s="41"/>
    </row>
    <row r="192" spans="1:19" s="15" customFormat="1" ht="26.25" customHeight="1" x14ac:dyDescent="0.2">
      <c r="A192" s="43" t="s">
        <v>608</v>
      </c>
      <c r="B192" s="46" t="s">
        <v>159</v>
      </c>
      <c r="C192" s="44" t="s">
        <v>612</v>
      </c>
      <c r="D192" s="47">
        <v>7570</v>
      </c>
      <c r="E192" s="46" t="s">
        <v>601</v>
      </c>
      <c r="F192" s="35">
        <v>99000</v>
      </c>
      <c r="G192" s="40">
        <v>99000</v>
      </c>
      <c r="H192" s="35">
        <v>0</v>
      </c>
      <c r="I192" s="35">
        <f t="shared" si="32"/>
        <v>99000</v>
      </c>
      <c r="J192" s="36">
        <f t="shared" si="33"/>
        <v>0</v>
      </c>
      <c r="K192" s="48" t="s">
        <v>83</v>
      </c>
      <c r="L192" s="48" t="s">
        <v>83</v>
      </c>
      <c r="M192" s="38">
        <v>41985</v>
      </c>
      <c r="N192" s="48"/>
      <c r="O192" s="35">
        <v>99000</v>
      </c>
      <c r="P192" s="35"/>
      <c r="Q192" s="35"/>
      <c r="R192" s="35"/>
      <c r="S192" s="41"/>
    </row>
    <row r="193" spans="1:19" s="15" customFormat="1" ht="26.25" customHeight="1" x14ac:dyDescent="0.2">
      <c r="A193" s="43" t="s">
        <v>609</v>
      </c>
      <c r="B193" s="46" t="s">
        <v>315</v>
      </c>
      <c r="C193" s="44" t="s">
        <v>613</v>
      </c>
      <c r="D193" s="47">
        <v>7600</v>
      </c>
      <c r="E193" s="46" t="s">
        <v>602</v>
      </c>
      <c r="F193" s="35">
        <v>65000</v>
      </c>
      <c r="G193" s="40">
        <v>5000</v>
      </c>
      <c r="H193" s="35">
        <f>374381+65000</f>
        <v>439381</v>
      </c>
      <c r="I193" s="35">
        <f t="shared" si="32"/>
        <v>444381</v>
      </c>
      <c r="J193" s="36">
        <f t="shared" si="33"/>
        <v>87.876199999999997</v>
      </c>
      <c r="K193" s="48" t="s">
        <v>83</v>
      </c>
      <c r="L193" s="48" t="s">
        <v>83</v>
      </c>
      <c r="M193" s="52" t="s">
        <v>331</v>
      </c>
      <c r="N193" s="48" t="s">
        <v>86</v>
      </c>
      <c r="O193" s="35">
        <v>65000</v>
      </c>
      <c r="P193" s="35"/>
      <c r="Q193" s="35"/>
      <c r="R193" s="35"/>
      <c r="S193" s="41"/>
    </row>
    <row r="194" spans="1:19" s="15" customFormat="1" ht="26.25" customHeight="1" x14ac:dyDescent="0.2">
      <c r="A194" s="43" t="s">
        <v>614</v>
      </c>
      <c r="B194" s="46" t="s">
        <v>39</v>
      </c>
      <c r="C194" s="44" t="s">
        <v>620</v>
      </c>
      <c r="D194" s="47">
        <v>7586</v>
      </c>
      <c r="E194" s="46" t="s">
        <v>617</v>
      </c>
      <c r="F194" s="35">
        <v>50065</v>
      </c>
      <c r="G194" s="40">
        <v>50065</v>
      </c>
      <c r="H194" s="35">
        <v>0</v>
      </c>
      <c r="I194" s="35">
        <f>G194+H194</f>
        <v>50065</v>
      </c>
      <c r="J194" s="36">
        <f>IF(G194=0,100%,(I194-G194)/G194)</f>
        <v>0</v>
      </c>
      <c r="K194" s="48" t="s">
        <v>83</v>
      </c>
      <c r="L194" s="48" t="s">
        <v>83</v>
      </c>
      <c r="M194" s="52">
        <v>41632</v>
      </c>
      <c r="N194" s="48"/>
      <c r="O194" s="35">
        <v>50065</v>
      </c>
      <c r="P194" s="35"/>
      <c r="Q194" s="35"/>
      <c r="R194" s="35"/>
      <c r="S194" s="41"/>
    </row>
    <row r="195" spans="1:19" s="15" customFormat="1" ht="26.25" customHeight="1" x14ac:dyDescent="0.2">
      <c r="A195" s="43" t="s">
        <v>615</v>
      </c>
      <c r="B195" s="46" t="s">
        <v>619</v>
      </c>
      <c r="C195" s="44" t="s">
        <v>283</v>
      </c>
      <c r="D195" s="47">
        <v>7658</v>
      </c>
      <c r="E195" s="46" t="s">
        <v>298</v>
      </c>
      <c r="F195" s="35">
        <v>14500</v>
      </c>
      <c r="G195" s="40">
        <v>44500</v>
      </c>
      <c r="H195" s="35">
        <f>40000+14500</f>
        <v>54500</v>
      </c>
      <c r="I195" s="35">
        <f>G195+H195</f>
        <v>99000</v>
      </c>
      <c r="J195" s="36">
        <f>IF(G195=0,100%,(I195-G195)/G195)</f>
        <v>1.2247191011235956</v>
      </c>
      <c r="K195" s="48" t="s">
        <v>83</v>
      </c>
      <c r="L195" s="48" t="s">
        <v>83</v>
      </c>
      <c r="M195" s="52">
        <v>41820</v>
      </c>
      <c r="N195" s="48" t="s">
        <v>86</v>
      </c>
      <c r="O195" s="35">
        <v>14500</v>
      </c>
      <c r="P195" s="35"/>
      <c r="Q195" s="35"/>
      <c r="R195" s="35"/>
      <c r="S195" s="41"/>
    </row>
    <row r="196" spans="1:19" s="15" customFormat="1" ht="26.25" customHeight="1" x14ac:dyDescent="0.2">
      <c r="A196" s="43" t="s">
        <v>616</v>
      </c>
      <c r="B196" s="46" t="s">
        <v>46</v>
      </c>
      <c r="C196" s="44" t="s">
        <v>621</v>
      </c>
      <c r="D196" s="47">
        <v>7676</v>
      </c>
      <c r="E196" s="46" t="s">
        <v>618</v>
      </c>
      <c r="F196" s="35">
        <v>90000</v>
      </c>
      <c r="G196" s="40">
        <v>90000</v>
      </c>
      <c r="H196" s="35">
        <v>0</v>
      </c>
      <c r="I196" s="35">
        <f>G196+H196</f>
        <v>90000</v>
      </c>
      <c r="J196" s="36">
        <f>IF(G196=0,100%,(I196-G196)/G196)</f>
        <v>0</v>
      </c>
      <c r="K196" s="48" t="s">
        <v>83</v>
      </c>
      <c r="L196" s="48" t="s">
        <v>83</v>
      </c>
      <c r="M196" s="52">
        <v>41790</v>
      </c>
      <c r="N196" s="48"/>
      <c r="O196" s="35">
        <v>90000</v>
      </c>
      <c r="P196" s="35"/>
      <c r="Q196" s="35"/>
      <c r="R196" s="35"/>
      <c r="S196" s="41"/>
    </row>
    <row r="197" spans="1:19" s="15" customFormat="1" ht="26.25" customHeight="1" x14ac:dyDescent="0.2">
      <c r="A197" s="43" t="s">
        <v>622</v>
      </c>
      <c r="B197" s="46" t="s">
        <v>315</v>
      </c>
      <c r="C197" s="44" t="s">
        <v>317</v>
      </c>
      <c r="D197" s="47" t="s">
        <v>639</v>
      </c>
      <c r="E197" s="46" t="s">
        <v>632</v>
      </c>
      <c r="F197" s="35">
        <v>40000</v>
      </c>
      <c r="G197" s="40">
        <v>5000</v>
      </c>
      <c r="H197" s="35">
        <f>50000+40000</f>
        <v>90000</v>
      </c>
      <c r="I197" s="35">
        <f t="shared" ref="I197:I205" si="34">G197+H197</f>
        <v>95000</v>
      </c>
      <c r="J197" s="36">
        <f t="shared" ref="J197:J205" si="35">IF(G197=0,100%,(I197-G197)/G197)</f>
        <v>18</v>
      </c>
      <c r="K197" s="48" t="s">
        <v>83</v>
      </c>
      <c r="L197" s="48" t="s">
        <v>83</v>
      </c>
      <c r="M197" s="52">
        <v>41456</v>
      </c>
      <c r="N197" s="48" t="s">
        <v>86</v>
      </c>
      <c r="O197" s="35">
        <v>40000</v>
      </c>
      <c r="P197" s="35"/>
      <c r="Q197" s="35"/>
      <c r="R197" s="35"/>
      <c r="S197" s="41"/>
    </row>
    <row r="198" spans="1:19" s="15" customFormat="1" ht="26.25" customHeight="1" x14ac:dyDescent="0.2">
      <c r="A198" s="43" t="s">
        <v>623</v>
      </c>
      <c r="B198" s="46" t="s">
        <v>125</v>
      </c>
      <c r="C198" s="44" t="s">
        <v>629</v>
      </c>
      <c r="D198" s="47">
        <v>7456</v>
      </c>
      <c r="E198" s="46" t="s">
        <v>638</v>
      </c>
      <c r="F198" s="35">
        <v>21650</v>
      </c>
      <c r="G198" s="40">
        <v>21650</v>
      </c>
      <c r="H198" s="35">
        <v>0</v>
      </c>
      <c r="I198" s="35">
        <f t="shared" si="34"/>
        <v>21650</v>
      </c>
      <c r="J198" s="36">
        <f t="shared" si="35"/>
        <v>0</v>
      </c>
      <c r="K198" s="48" t="s">
        <v>85</v>
      </c>
      <c r="L198" s="48" t="s">
        <v>85</v>
      </c>
      <c r="M198" s="52">
        <v>42004</v>
      </c>
      <c r="N198" s="48"/>
      <c r="O198" s="35">
        <v>21650</v>
      </c>
      <c r="P198" s="35"/>
      <c r="Q198" s="35"/>
      <c r="R198" s="35"/>
      <c r="S198" s="41"/>
    </row>
    <row r="199" spans="1:19" s="15" customFormat="1" ht="26.25" customHeight="1" x14ac:dyDescent="0.2">
      <c r="A199" s="43" t="s">
        <v>624</v>
      </c>
      <c r="B199" s="46" t="s">
        <v>125</v>
      </c>
      <c r="C199" s="44" t="s">
        <v>630</v>
      </c>
      <c r="D199" s="47">
        <v>7541</v>
      </c>
      <c r="E199" s="46" t="s">
        <v>633</v>
      </c>
      <c r="F199" s="35">
        <v>7060</v>
      </c>
      <c r="G199" s="40">
        <v>7060</v>
      </c>
      <c r="H199" s="35">
        <v>0</v>
      </c>
      <c r="I199" s="35">
        <f t="shared" si="34"/>
        <v>7060</v>
      </c>
      <c r="J199" s="36">
        <f t="shared" si="35"/>
        <v>0</v>
      </c>
      <c r="K199" s="48" t="s">
        <v>83</v>
      </c>
      <c r="L199" s="48" t="s">
        <v>83</v>
      </c>
      <c r="M199" s="52">
        <v>41670</v>
      </c>
      <c r="N199" s="48"/>
      <c r="O199" s="35">
        <v>7060</v>
      </c>
      <c r="P199" s="35"/>
      <c r="Q199" s="35"/>
      <c r="R199" s="35"/>
      <c r="S199" s="41"/>
    </row>
    <row r="200" spans="1:19" s="15" customFormat="1" ht="26.25" customHeight="1" x14ac:dyDescent="0.2">
      <c r="A200" s="43" t="s">
        <v>625</v>
      </c>
      <c r="B200" s="46" t="s">
        <v>145</v>
      </c>
      <c r="C200" s="44" t="s">
        <v>175</v>
      </c>
      <c r="D200" s="47">
        <v>7591</v>
      </c>
      <c r="E200" s="46" t="s">
        <v>634</v>
      </c>
      <c r="F200" s="35">
        <v>30000</v>
      </c>
      <c r="G200" s="40">
        <v>30000</v>
      </c>
      <c r="H200" s="35">
        <v>0</v>
      </c>
      <c r="I200" s="35">
        <f t="shared" si="34"/>
        <v>30000</v>
      </c>
      <c r="J200" s="36">
        <f t="shared" si="35"/>
        <v>0</v>
      </c>
      <c r="K200" s="48" t="s">
        <v>83</v>
      </c>
      <c r="L200" s="48" t="s">
        <v>85</v>
      </c>
      <c r="M200" s="52">
        <v>41820</v>
      </c>
      <c r="N200" s="48"/>
      <c r="O200" s="35">
        <v>30000</v>
      </c>
      <c r="P200" s="35"/>
      <c r="Q200" s="35"/>
      <c r="R200" s="35"/>
      <c r="S200" s="41"/>
    </row>
    <row r="201" spans="1:19" s="15" customFormat="1" ht="26.25" customHeight="1" x14ac:dyDescent="0.2">
      <c r="A201" s="43" t="s">
        <v>626</v>
      </c>
      <c r="B201" s="46" t="s">
        <v>39</v>
      </c>
      <c r="C201" s="44" t="s">
        <v>631</v>
      </c>
      <c r="D201" s="47">
        <v>7649</v>
      </c>
      <c r="E201" s="46" t="s">
        <v>635</v>
      </c>
      <c r="F201" s="35">
        <v>41040</v>
      </c>
      <c r="G201" s="40">
        <v>41040</v>
      </c>
      <c r="H201" s="35">
        <v>0</v>
      </c>
      <c r="I201" s="35">
        <f t="shared" si="34"/>
        <v>41040</v>
      </c>
      <c r="J201" s="36">
        <f t="shared" si="35"/>
        <v>0</v>
      </c>
      <c r="K201" s="48" t="s">
        <v>83</v>
      </c>
      <c r="L201" s="48" t="s">
        <v>83</v>
      </c>
      <c r="M201" s="38">
        <v>41820</v>
      </c>
      <c r="N201" s="48"/>
      <c r="O201" s="35">
        <v>41040</v>
      </c>
      <c r="P201" s="35"/>
      <c r="Q201" s="35"/>
      <c r="R201" s="35"/>
      <c r="S201" s="41"/>
    </row>
    <row r="202" spans="1:19" s="15" customFormat="1" ht="26.25" customHeight="1" x14ac:dyDescent="0.2">
      <c r="A202" s="43" t="s">
        <v>627</v>
      </c>
      <c r="B202" s="46" t="s">
        <v>40</v>
      </c>
      <c r="C202" s="44" t="s">
        <v>233</v>
      </c>
      <c r="D202" s="47">
        <v>7673</v>
      </c>
      <c r="E202" s="46" t="s">
        <v>636</v>
      </c>
      <c r="F202" s="35">
        <v>9000</v>
      </c>
      <c r="G202" s="40">
        <v>9000</v>
      </c>
      <c r="H202" s="35">
        <v>0</v>
      </c>
      <c r="I202" s="35">
        <f t="shared" si="34"/>
        <v>9000</v>
      </c>
      <c r="J202" s="36">
        <f t="shared" si="35"/>
        <v>0</v>
      </c>
      <c r="K202" s="48" t="s">
        <v>83</v>
      </c>
      <c r="L202" s="48" t="s">
        <v>85</v>
      </c>
      <c r="M202" s="38">
        <v>41670</v>
      </c>
      <c r="N202" s="48"/>
      <c r="O202" s="35">
        <v>9000</v>
      </c>
      <c r="P202" s="35"/>
      <c r="Q202" s="35"/>
      <c r="R202" s="35"/>
      <c r="S202" s="41"/>
    </row>
    <row r="203" spans="1:19" s="15" customFormat="1" ht="26.25" customHeight="1" x14ac:dyDescent="0.2">
      <c r="A203" s="43" t="s">
        <v>628</v>
      </c>
      <c r="B203" s="43" t="s">
        <v>41</v>
      </c>
      <c r="C203" s="43" t="s">
        <v>54</v>
      </c>
      <c r="D203" s="47">
        <v>7683</v>
      </c>
      <c r="E203" s="46" t="s">
        <v>637</v>
      </c>
      <c r="F203" s="35">
        <v>18529</v>
      </c>
      <c r="G203" s="40">
        <v>18529</v>
      </c>
      <c r="H203" s="35">
        <v>0</v>
      </c>
      <c r="I203" s="35">
        <f t="shared" si="34"/>
        <v>18529</v>
      </c>
      <c r="J203" s="36">
        <f t="shared" si="35"/>
        <v>0</v>
      </c>
      <c r="K203" s="48" t="s">
        <v>83</v>
      </c>
      <c r="L203" s="48" t="s">
        <v>85</v>
      </c>
      <c r="M203" s="38">
        <v>41820</v>
      </c>
      <c r="N203" s="48"/>
      <c r="O203" s="35">
        <v>18529</v>
      </c>
      <c r="P203" s="35"/>
      <c r="Q203" s="35"/>
      <c r="R203" s="35"/>
      <c r="S203" s="41"/>
    </row>
    <row r="204" spans="1:19" s="15" customFormat="1" ht="26.25" customHeight="1" x14ac:dyDescent="0.2">
      <c r="A204" s="43" t="s">
        <v>640</v>
      </c>
      <c r="B204" s="46" t="s">
        <v>46</v>
      </c>
      <c r="C204" s="43" t="s">
        <v>647</v>
      </c>
      <c r="D204" s="47">
        <v>7653</v>
      </c>
      <c r="E204" s="46" t="s">
        <v>644</v>
      </c>
      <c r="F204" s="35">
        <v>13281</v>
      </c>
      <c r="G204" s="40">
        <v>13281</v>
      </c>
      <c r="H204" s="35">
        <v>0</v>
      </c>
      <c r="I204" s="35">
        <f t="shared" si="34"/>
        <v>13281</v>
      </c>
      <c r="J204" s="36">
        <f t="shared" si="35"/>
        <v>0</v>
      </c>
      <c r="K204" s="48" t="s">
        <v>83</v>
      </c>
      <c r="L204" s="48" t="s">
        <v>83</v>
      </c>
      <c r="M204" s="38">
        <v>42693</v>
      </c>
      <c r="N204" s="48"/>
      <c r="O204" s="35">
        <v>13281</v>
      </c>
      <c r="P204" s="35"/>
      <c r="Q204" s="35"/>
      <c r="R204" s="35"/>
      <c r="S204" s="41"/>
    </row>
    <row r="205" spans="1:19" s="15" customFormat="1" ht="26.25" customHeight="1" x14ac:dyDescent="0.2">
      <c r="A205" s="43" t="s">
        <v>641</v>
      </c>
      <c r="B205" s="46" t="s">
        <v>39</v>
      </c>
      <c r="C205" s="44" t="s">
        <v>648</v>
      </c>
      <c r="D205" s="47">
        <v>7689</v>
      </c>
      <c r="E205" s="46" t="s">
        <v>646</v>
      </c>
      <c r="F205" s="35">
        <v>46311</v>
      </c>
      <c r="G205" s="40">
        <v>46311</v>
      </c>
      <c r="H205" s="35">
        <v>0</v>
      </c>
      <c r="I205" s="35">
        <f t="shared" si="34"/>
        <v>46311</v>
      </c>
      <c r="J205" s="36">
        <f t="shared" si="35"/>
        <v>0</v>
      </c>
      <c r="K205" s="48" t="s">
        <v>83</v>
      </c>
      <c r="L205" s="48" t="s">
        <v>83</v>
      </c>
      <c r="M205" s="38">
        <v>41729</v>
      </c>
      <c r="N205" s="48"/>
      <c r="O205" s="35">
        <v>46311</v>
      </c>
      <c r="P205" s="35"/>
      <c r="Q205" s="35"/>
      <c r="R205" s="35"/>
      <c r="S205" s="41"/>
    </row>
    <row r="206" spans="1:19" s="15" customFormat="1" ht="26.25" customHeight="1" x14ac:dyDescent="0.2">
      <c r="A206" s="43" t="s">
        <v>642</v>
      </c>
      <c r="B206" s="46" t="s">
        <v>39</v>
      </c>
      <c r="C206" s="44" t="s">
        <v>649</v>
      </c>
      <c r="D206" s="47" t="s">
        <v>643</v>
      </c>
      <c r="E206" s="46" t="s">
        <v>645</v>
      </c>
      <c r="F206" s="35">
        <v>21500</v>
      </c>
      <c r="G206" s="40">
        <v>24000</v>
      </c>
      <c r="H206" s="35">
        <f>30111+24000+21500</f>
        <v>75611</v>
      </c>
      <c r="I206" s="35">
        <f>G206+H206</f>
        <v>99611</v>
      </c>
      <c r="J206" s="36">
        <f>IF(G206=0,100%,(I206-G206)/G206)</f>
        <v>3.1504583333333334</v>
      </c>
      <c r="K206" s="48" t="s">
        <v>83</v>
      </c>
      <c r="L206" s="48" t="s">
        <v>83</v>
      </c>
      <c r="M206" s="38">
        <v>41820</v>
      </c>
      <c r="N206" s="48" t="s">
        <v>86</v>
      </c>
      <c r="O206" s="35">
        <v>21500</v>
      </c>
      <c r="P206" s="35"/>
      <c r="Q206" s="35"/>
      <c r="R206" s="35"/>
      <c r="S206" s="41"/>
    </row>
    <row r="207" spans="1:19" s="15" customFormat="1" ht="26.25" customHeight="1" x14ac:dyDescent="0.2">
      <c r="A207" s="43" t="s">
        <v>650</v>
      </c>
      <c r="B207" s="46" t="s">
        <v>159</v>
      </c>
      <c r="C207" s="44" t="s">
        <v>653</v>
      </c>
      <c r="D207" s="47" t="s">
        <v>655</v>
      </c>
      <c r="E207" s="46" t="s">
        <v>652</v>
      </c>
      <c r="F207" s="35">
        <v>84000</v>
      </c>
      <c r="G207" s="40">
        <v>15000</v>
      </c>
      <c r="H207" s="35">
        <v>84000</v>
      </c>
      <c r="I207" s="35">
        <f t="shared" ref="I207:I218" si="36">G207+H207</f>
        <v>99000</v>
      </c>
      <c r="J207" s="36">
        <f t="shared" ref="J207:J218" si="37">IF(G207=0,100%,(I207-G207)/G207)</f>
        <v>5.6</v>
      </c>
      <c r="K207" s="48" t="s">
        <v>83</v>
      </c>
      <c r="L207" s="48" t="s">
        <v>83</v>
      </c>
      <c r="M207" s="38">
        <v>41820</v>
      </c>
      <c r="N207" s="48" t="s">
        <v>86</v>
      </c>
      <c r="O207" s="35">
        <v>84000</v>
      </c>
      <c r="P207" s="35"/>
      <c r="Q207" s="35"/>
      <c r="R207" s="35"/>
      <c r="S207" s="41"/>
    </row>
    <row r="208" spans="1:19" s="15" customFormat="1" ht="26.25" customHeight="1" x14ac:dyDescent="0.2">
      <c r="A208" s="43" t="s">
        <v>651</v>
      </c>
      <c r="B208" s="46" t="s">
        <v>46</v>
      </c>
      <c r="C208" s="44" t="s">
        <v>654</v>
      </c>
      <c r="D208" s="47">
        <v>7711</v>
      </c>
      <c r="E208" s="46" t="s">
        <v>863</v>
      </c>
      <c r="F208" s="40">
        <f>90000*3</f>
        <v>270000</v>
      </c>
      <c r="G208" s="40">
        <f>90000*3</f>
        <v>270000</v>
      </c>
      <c r="H208" s="35">
        <v>0</v>
      </c>
      <c r="I208" s="35">
        <f t="shared" si="36"/>
        <v>270000</v>
      </c>
      <c r="J208" s="36">
        <f t="shared" si="37"/>
        <v>0</v>
      </c>
      <c r="K208" s="48" t="s">
        <v>83</v>
      </c>
      <c r="L208" s="48" t="s">
        <v>83</v>
      </c>
      <c r="M208" s="38">
        <v>41820</v>
      </c>
      <c r="N208" s="48" t="s">
        <v>84</v>
      </c>
      <c r="O208" s="35">
        <v>90000</v>
      </c>
      <c r="P208" s="35">
        <v>90000</v>
      </c>
      <c r="Q208" s="35">
        <v>90000</v>
      </c>
      <c r="R208" s="35"/>
      <c r="S208" s="41"/>
    </row>
    <row r="209" spans="1:19" s="15" customFormat="1" ht="26.25" customHeight="1" x14ac:dyDescent="0.2">
      <c r="A209" s="43" t="s">
        <v>656</v>
      </c>
      <c r="B209" s="46" t="s">
        <v>46</v>
      </c>
      <c r="C209" s="46" t="s">
        <v>134</v>
      </c>
      <c r="D209" s="47">
        <v>7718</v>
      </c>
      <c r="E209" s="46" t="s">
        <v>663</v>
      </c>
      <c r="F209" s="35">
        <v>6824</v>
      </c>
      <c r="G209" s="40">
        <v>6824</v>
      </c>
      <c r="H209" s="35">
        <v>0</v>
      </c>
      <c r="I209" s="35">
        <f t="shared" si="36"/>
        <v>6824</v>
      </c>
      <c r="J209" s="36">
        <f t="shared" si="37"/>
        <v>0</v>
      </c>
      <c r="K209" s="48" t="s">
        <v>83</v>
      </c>
      <c r="L209" s="48" t="s">
        <v>83</v>
      </c>
      <c r="M209" s="38">
        <v>41997</v>
      </c>
      <c r="N209" s="48"/>
      <c r="O209" s="35">
        <v>6824</v>
      </c>
      <c r="P209" s="35"/>
      <c r="Q209" s="35"/>
      <c r="R209" s="35"/>
      <c r="S209" s="41"/>
    </row>
    <row r="210" spans="1:19" s="15" customFormat="1" ht="26.25" customHeight="1" x14ac:dyDescent="0.2">
      <c r="A210" s="43" t="s">
        <v>657</v>
      </c>
      <c r="B210" s="46" t="s">
        <v>41</v>
      </c>
      <c r="C210" s="46" t="s">
        <v>660</v>
      </c>
      <c r="D210" s="47">
        <v>7729</v>
      </c>
      <c r="E210" s="46" t="s">
        <v>666</v>
      </c>
      <c r="F210" s="35">
        <v>32992</v>
      </c>
      <c r="G210" s="40">
        <v>32992</v>
      </c>
      <c r="H210" s="35">
        <v>0</v>
      </c>
      <c r="I210" s="35">
        <f t="shared" si="36"/>
        <v>32992</v>
      </c>
      <c r="J210" s="36">
        <f t="shared" si="37"/>
        <v>0</v>
      </c>
      <c r="K210" s="48" t="s">
        <v>83</v>
      </c>
      <c r="L210" s="48" t="s">
        <v>85</v>
      </c>
      <c r="M210" s="38">
        <v>41820</v>
      </c>
      <c r="N210" s="48"/>
      <c r="O210" s="35">
        <v>32992</v>
      </c>
      <c r="P210" s="35"/>
      <c r="Q210" s="35"/>
      <c r="R210" s="35"/>
      <c r="S210" s="41"/>
    </row>
    <row r="211" spans="1:19" s="15" customFormat="1" ht="26.25" customHeight="1" x14ac:dyDescent="0.2">
      <c r="A211" s="43" t="s">
        <v>658</v>
      </c>
      <c r="B211" s="46" t="s">
        <v>94</v>
      </c>
      <c r="C211" s="46" t="s">
        <v>661</v>
      </c>
      <c r="D211" s="47">
        <v>7751</v>
      </c>
      <c r="E211" s="46" t="s">
        <v>665</v>
      </c>
      <c r="F211" s="35">
        <f>35000*3</f>
        <v>105000</v>
      </c>
      <c r="G211" s="40">
        <f>35000*3</f>
        <v>105000</v>
      </c>
      <c r="H211" s="35">
        <v>0</v>
      </c>
      <c r="I211" s="35">
        <f t="shared" si="36"/>
        <v>105000</v>
      </c>
      <c r="J211" s="36">
        <f t="shared" si="37"/>
        <v>0</v>
      </c>
      <c r="K211" s="48" t="s">
        <v>83</v>
      </c>
      <c r="L211" s="48" t="s">
        <v>83</v>
      </c>
      <c r="M211" s="38">
        <v>41820</v>
      </c>
      <c r="N211" s="48" t="s">
        <v>84</v>
      </c>
      <c r="O211" s="35">
        <v>35000</v>
      </c>
      <c r="P211" s="35">
        <v>35000</v>
      </c>
      <c r="Q211" s="35">
        <v>35000</v>
      </c>
      <c r="R211" s="35"/>
      <c r="S211" s="41"/>
    </row>
    <row r="212" spans="1:19" s="15" customFormat="1" ht="26.25" customHeight="1" x14ac:dyDescent="0.2">
      <c r="A212" s="43" t="s">
        <v>659</v>
      </c>
      <c r="B212" s="46" t="s">
        <v>41</v>
      </c>
      <c r="C212" s="46" t="s">
        <v>662</v>
      </c>
      <c r="D212" s="47">
        <v>7761</v>
      </c>
      <c r="E212" s="46" t="s">
        <v>664</v>
      </c>
      <c r="F212" s="35">
        <v>7500</v>
      </c>
      <c r="G212" s="40">
        <v>7500</v>
      </c>
      <c r="H212" s="35">
        <v>0</v>
      </c>
      <c r="I212" s="35">
        <f t="shared" si="36"/>
        <v>7500</v>
      </c>
      <c r="J212" s="36">
        <f t="shared" si="37"/>
        <v>0</v>
      </c>
      <c r="K212" s="48" t="s">
        <v>83</v>
      </c>
      <c r="L212" s="48" t="s">
        <v>83</v>
      </c>
      <c r="M212" s="38">
        <v>41820</v>
      </c>
      <c r="N212" s="48"/>
      <c r="O212" s="35">
        <v>7500</v>
      </c>
      <c r="P212" s="35"/>
      <c r="Q212" s="35"/>
      <c r="R212" s="35"/>
      <c r="S212" s="41"/>
    </row>
    <row r="213" spans="1:19" s="15" customFormat="1" ht="26.25" customHeight="1" x14ac:dyDescent="0.2">
      <c r="A213" s="43" t="s">
        <v>667</v>
      </c>
      <c r="B213" s="46" t="s">
        <v>159</v>
      </c>
      <c r="C213" s="44" t="s">
        <v>669</v>
      </c>
      <c r="D213" s="47">
        <v>7728</v>
      </c>
      <c r="E213" s="46" t="s">
        <v>671</v>
      </c>
      <c r="F213" s="35">
        <v>97200</v>
      </c>
      <c r="G213" s="40">
        <v>97200</v>
      </c>
      <c r="H213" s="35">
        <v>0</v>
      </c>
      <c r="I213" s="35">
        <f t="shared" si="36"/>
        <v>97200</v>
      </c>
      <c r="J213" s="36">
        <f t="shared" si="37"/>
        <v>0</v>
      </c>
      <c r="K213" s="48" t="s">
        <v>83</v>
      </c>
      <c r="L213" s="48" t="s">
        <v>83</v>
      </c>
      <c r="M213" s="38">
        <v>41820</v>
      </c>
      <c r="N213" s="48"/>
      <c r="O213" s="35">
        <v>97200</v>
      </c>
      <c r="P213" s="35"/>
      <c r="Q213" s="35"/>
      <c r="R213" s="35"/>
      <c r="S213" s="41"/>
    </row>
    <row r="214" spans="1:19" s="15" customFormat="1" ht="26.25" customHeight="1" x14ac:dyDescent="0.2">
      <c r="A214" s="43" t="s">
        <v>668</v>
      </c>
      <c r="B214" s="46" t="s">
        <v>159</v>
      </c>
      <c r="C214" s="44" t="s">
        <v>670</v>
      </c>
      <c r="D214" s="47">
        <v>7735</v>
      </c>
      <c r="E214" s="46" t="s">
        <v>672</v>
      </c>
      <c r="F214" s="35">
        <v>99750</v>
      </c>
      <c r="G214" s="40">
        <v>99750</v>
      </c>
      <c r="H214" s="35">
        <v>0</v>
      </c>
      <c r="I214" s="35">
        <f t="shared" si="36"/>
        <v>99750</v>
      </c>
      <c r="J214" s="36">
        <f t="shared" si="37"/>
        <v>0</v>
      </c>
      <c r="K214" s="48" t="s">
        <v>83</v>
      </c>
      <c r="L214" s="48" t="s">
        <v>83</v>
      </c>
      <c r="M214" s="38">
        <v>41820</v>
      </c>
      <c r="N214" s="48"/>
      <c r="O214" s="35">
        <v>99750</v>
      </c>
      <c r="P214" s="35"/>
      <c r="Q214" s="35"/>
      <c r="R214" s="35"/>
      <c r="S214" s="41"/>
    </row>
    <row r="215" spans="1:19" s="15" customFormat="1" ht="38.25" customHeight="1" x14ac:dyDescent="0.2">
      <c r="A215" s="43" t="s">
        <v>673</v>
      </c>
      <c r="B215" s="46" t="s">
        <v>39</v>
      </c>
      <c r="C215" s="44" t="s">
        <v>702</v>
      </c>
      <c r="D215" s="47" t="s">
        <v>712</v>
      </c>
      <c r="E215" s="46" t="s">
        <v>689</v>
      </c>
      <c r="F215" s="35">
        <v>4500</v>
      </c>
      <c r="G215" s="40">
        <v>4800</v>
      </c>
      <c r="H215" s="35">
        <v>4500</v>
      </c>
      <c r="I215" s="35">
        <f t="shared" si="36"/>
        <v>9300</v>
      </c>
      <c r="J215" s="36">
        <f t="shared" si="37"/>
        <v>0.9375</v>
      </c>
      <c r="K215" s="48" t="s">
        <v>83</v>
      </c>
      <c r="L215" s="48" t="s">
        <v>83</v>
      </c>
      <c r="M215" s="38">
        <v>41820</v>
      </c>
      <c r="N215" s="48" t="s">
        <v>86</v>
      </c>
      <c r="O215" s="35">
        <v>4500</v>
      </c>
      <c r="P215" s="35"/>
      <c r="Q215" s="35"/>
      <c r="R215" s="35"/>
      <c r="S215" s="41"/>
    </row>
    <row r="216" spans="1:19" s="15" customFormat="1" ht="26.25" customHeight="1" x14ac:dyDescent="0.2">
      <c r="A216" s="43" t="s">
        <v>674</v>
      </c>
      <c r="B216" s="46" t="s">
        <v>39</v>
      </c>
      <c r="C216" s="44" t="s">
        <v>703</v>
      </c>
      <c r="D216" s="47" t="s">
        <v>713</v>
      </c>
      <c r="E216" s="46" t="s">
        <v>690</v>
      </c>
      <c r="F216" s="35">
        <v>5000</v>
      </c>
      <c r="G216" s="40">
        <v>28865</v>
      </c>
      <c r="H216" s="35">
        <v>5000</v>
      </c>
      <c r="I216" s="35">
        <f t="shared" si="36"/>
        <v>33865</v>
      </c>
      <c r="J216" s="36">
        <f t="shared" si="37"/>
        <v>0.17322016282695304</v>
      </c>
      <c r="K216" s="48" t="s">
        <v>83</v>
      </c>
      <c r="L216" s="48" t="s">
        <v>83</v>
      </c>
      <c r="M216" s="38">
        <v>41820</v>
      </c>
      <c r="N216" s="48" t="s">
        <v>86</v>
      </c>
      <c r="O216" s="35">
        <v>5000</v>
      </c>
      <c r="P216" s="35"/>
      <c r="Q216" s="35"/>
      <c r="R216" s="35"/>
      <c r="S216" s="41"/>
    </row>
    <row r="217" spans="1:19" s="15" customFormat="1" ht="26.25" customHeight="1" x14ac:dyDescent="0.2">
      <c r="A217" s="43" t="s">
        <v>675</v>
      </c>
      <c r="B217" s="46" t="s">
        <v>39</v>
      </c>
      <c r="C217" s="44" t="s">
        <v>441</v>
      </c>
      <c r="D217" s="47">
        <v>7773</v>
      </c>
      <c r="E217" s="46" t="s">
        <v>691</v>
      </c>
      <c r="F217" s="35">
        <v>16290</v>
      </c>
      <c r="G217" s="40">
        <v>16290</v>
      </c>
      <c r="H217" s="35">
        <v>0</v>
      </c>
      <c r="I217" s="35">
        <f t="shared" si="36"/>
        <v>16290</v>
      </c>
      <c r="J217" s="36">
        <f t="shared" si="37"/>
        <v>0</v>
      </c>
      <c r="K217" s="48" t="s">
        <v>83</v>
      </c>
      <c r="L217" s="48" t="s">
        <v>85</v>
      </c>
      <c r="M217" s="38">
        <v>41820</v>
      </c>
      <c r="N217" s="48"/>
      <c r="O217" s="35">
        <v>16290</v>
      </c>
      <c r="P217" s="35"/>
      <c r="Q217" s="35"/>
      <c r="R217" s="35"/>
      <c r="S217" s="41"/>
    </row>
    <row r="218" spans="1:19" s="15" customFormat="1" ht="26.25" customHeight="1" x14ac:dyDescent="0.2">
      <c r="A218" s="43" t="s">
        <v>676</v>
      </c>
      <c r="B218" s="46" t="s">
        <v>39</v>
      </c>
      <c r="C218" s="44" t="s">
        <v>704</v>
      </c>
      <c r="D218" s="47">
        <v>7780</v>
      </c>
      <c r="E218" s="46" t="s">
        <v>692</v>
      </c>
      <c r="F218" s="35">
        <v>45000</v>
      </c>
      <c r="G218" s="40">
        <v>45000</v>
      </c>
      <c r="H218" s="35">
        <v>0</v>
      </c>
      <c r="I218" s="35">
        <f t="shared" si="36"/>
        <v>45000</v>
      </c>
      <c r="J218" s="36">
        <f t="shared" si="37"/>
        <v>0</v>
      </c>
      <c r="K218" s="48" t="s">
        <v>83</v>
      </c>
      <c r="L218" s="48" t="s">
        <v>83</v>
      </c>
      <c r="M218" s="38">
        <v>41820</v>
      </c>
      <c r="N218" s="48"/>
      <c r="O218" s="35">
        <v>45000</v>
      </c>
      <c r="P218" s="35"/>
      <c r="Q218" s="35"/>
      <c r="R218" s="35"/>
      <c r="S218" s="41"/>
    </row>
    <row r="219" spans="1:19" s="15" customFormat="1" ht="26.25" customHeight="1" x14ac:dyDescent="0.2">
      <c r="A219" s="43" t="s">
        <v>677</v>
      </c>
      <c r="B219" s="46" t="s">
        <v>39</v>
      </c>
      <c r="C219" s="44" t="s">
        <v>705</v>
      </c>
      <c r="D219" s="47" t="s">
        <v>714</v>
      </c>
      <c r="E219" s="46" t="s">
        <v>693</v>
      </c>
      <c r="F219" s="35">
        <v>20000</v>
      </c>
      <c r="G219" s="40">
        <v>24000</v>
      </c>
      <c r="H219" s="35">
        <f>24000+45000+20000</f>
        <v>89000</v>
      </c>
      <c r="I219" s="35">
        <f t="shared" ref="I219:I228" si="38">G219+H219</f>
        <v>113000</v>
      </c>
      <c r="J219" s="36">
        <f t="shared" ref="J219:J228" si="39">IF(G219=0,100%,(I219-G219)/G219)</f>
        <v>3.7083333333333335</v>
      </c>
      <c r="K219" s="48" t="s">
        <v>83</v>
      </c>
      <c r="L219" s="48" t="s">
        <v>83</v>
      </c>
      <c r="M219" s="38">
        <v>41820</v>
      </c>
      <c r="N219" s="48" t="s">
        <v>86</v>
      </c>
      <c r="O219" s="35">
        <v>20000</v>
      </c>
      <c r="P219" s="35"/>
      <c r="Q219" s="35"/>
      <c r="R219" s="35"/>
      <c r="S219" s="41"/>
    </row>
    <row r="220" spans="1:19" s="15" customFormat="1" ht="26.25" customHeight="1" x14ac:dyDescent="0.2">
      <c r="A220" s="43" t="s">
        <v>678</v>
      </c>
      <c r="B220" s="46" t="s">
        <v>125</v>
      </c>
      <c r="C220" s="44" t="s">
        <v>706</v>
      </c>
      <c r="D220" s="47">
        <v>7793</v>
      </c>
      <c r="E220" s="46" t="s">
        <v>694</v>
      </c>
      <c r="F220" s="35">
        <f>5997*3</f>
        <v>17991</v>
      </c>
      <c r="G220" s="40">
        <f>5997*3</f>
        <v>17991</v>
      </c>
      <c r="H220" s="35">
        <v>0</v>
      </c>
      <c r="I220" s="35">
        <f t="shared" si="38"/>
        <v>17991</v>
      </c>
      <c r="J220" s="36">
        <f t="shared" si="39"/>
        <v>0</v>
      </c>
      <c r="K220" s="48" t="s">
        <v>83</v>
      </c>
      <c r="L220" s="48" t="s">
        <v>83</v>
      </c>
      <c r="M220" s="38">
        <v>42035</v>
      </c>
      <c r="N220" s="48" t="s">
        <v>84</v>
      </c>
      <c r="O220" s="35">
        <v>5997</v>
      </c>
      <c r="P220" s="35">
        <v>5997</v>
      </c>
      <c r="Q220" s="35">
        <v>5997</v>
      </c>
      <c r="R220" s="35"/>
      <c r="S220" s="41"/>
    </row>
    <row r="221" spans="1:19" s="15" customFormat="1" ht="26.25" customHeight="1" x14ac:dyDescent="0.2">
      <c r="A221" s="43" t="s">
        <v>679</v>
      </c>
      <c r="B221" s="46" t="s">
        <v>41</v>
      </c>
      <c r="C221" s="44" t="s">
        <v>254</v>
      </c>
      <c r="D221" s="47">
        <v>7795</v>
      </c>
      <c r="E221" s="46" t="s">
        <v>695</v>
      </c>
      <c r="F221" s="35">
        <v>11516</v>
      </c>
      <c r="G221" s="40">
        <v>11516</v>
      </c>
      <c r="H221" s="35">
        <v>0</v>
      </c>
      <c r="I221" s="35">
        <f t="shared" si="38"/>
        <v>11516</v>
      </c>
      <c r="J221" s="36">
        <f t="shared" si="39"/>
        <v>0</v>
      </c>
      <c r="K221" s="48" t="s">
        <v>83</v>
      </c>
      <c r="L221" s="48" t="s">
        <v>83</v>
      </c>
      <c r="M221" s="38">
        <v>41820</v>
      </c>
      <c r="N221" s="48"/>
      <c r="O221" s="35">
        <v>11516</v>
      </c>
      <c r="P221" s="35"/>
      <c r="Q221" s="35"/>
      <c r="R221" s="35"/>
      <c r="S221" s="41"/>
    </row>
    <row r="222" spans="1:19" s="15" customFormat="1" ht="26.25" customHeight="1" x14ac:dyDescent="0.2">
      <c r="A222" s="43" t="s">
        <v>680</v>
      </c>
      <c r="B222" s="46" t="s">
        <v>41</v>
      </c>
      <c r="C222" s="44" t="s">
        <v>731</v>
      </c>
      <c r="D222" s="47">
        <v>7798</v>
      </c>
      <c r="E222" s="46" t="s">
        <v>696</v>
      </c>
      <c r="F222" s="35">
        <v>14414</v>
      </c>
      <c r="G222" s="40">
        <v>14414</v>
      </c>
      <c r="H222" s="35">
        <v>0</v>
      </c>
      <c r="I222" s="35">
        <f t="shared" si="38"/>
        <v>14414</v>
      </c>
      <c r="J222" s="36">
        <f t="shared" si="39"/>
        <v>0</v>
      </c>
      <c r="K222" s="48" t="s">
        <v>83</v>
      </c>
      <c r="L222" s="48" t="s">
        <v>83</v>
      </c>
      <c r="M222" s="38">
        <v>41820</v>
      </c>
      <c r="N222" s="48"/>
      <c r="O222" s="35">
        <v>14414</v>
      </c>
      <c r="P222" s="35"/>
      <c r="Q222" s="35"/>
      <c r="R222" s="35"/>
      <c r="S222" s="41"/>
    </row>
    <row r="223" spans="1:19" s="15" customFormat="1" ht="26.25" customHeight="1" x14ac:dyDescent="0.2">
      <c r="A223" s="43" t="s">
        <v>681</v>
      </c>
      <c r="B223" s="46" t="s">
        <v>687</v>
      </c>
      <c r="C223" s="44" t="s">
        <v>707</v>
      </c>
      <c r="D223" s="47">
        <v>7801</v>
      </c>
      <c r="E223" s="46" t="s">
        <v>697</v>
      </c>
      <c r="F223" s="35">
        <v>11575</v>
      </c>
      <c r="G223" s="40">
        <v>11575</v>
      </c>
      <c r="H223" s="35">
        <v>0</v>
      </c>
      <c r="I223" s="35">
        <f t="shared" si="38"/>
        <v>11575</v>
      </c>
      <c r="J223" s="36">
        <f t="shared" si="39"/>
        <v>0</v>
      </c>
      <c r="K223" s="48" t="s">
        <v>83</v>
      </c>
      <c r="L223" s="48" t="s">
        <v>83</v>
      </c>
      <c r="M223" s="38">
        <v>42369</v>
      </c>
      <c r="N223" s="48"/>
      <c r="O223" s="35">
        <v>11575</v>
      </c>
      <c r="P223" s="35"/>
      <c r="Q223" s="35"/>
      <c r="R223" s="35"/>
      <c r="S223" s="41"/>
    </row>
    <row r="224" spans="1:19" s="15" customFormat="1" ht="26.25" customHeight="1" x14ac:dyDescent="0.2">
      <c r="A224" s="43" t="s">
        <v>682</v>
      </c>
      <c r="B224" s="46" t="s">
        <v>159</v>
      </c>
      <c r="C224" s="44" t="s">
        <v>708</v>
      </c>
      <c r="D224" s="47">
        <v>7802</v>
      </c>
      <c r="E224" s="46" t="s">
        <v>698</v>
      </c>
      <c r="F224" s="35">
        <v>17000</v>
      </c>
      <c r="G224" s="40">
        <v>17000</v>
      </c>
      <c r="H224" s="35">
        <v>0</v>
      </c>
      <c r="I224" s="35">
        <f t="shared" si="38"/>
        <v>17000</v>
      </c>
      <c r="J224" s="36">
        <f t="shared" si="39"/>
        <v>0</v>
      </c>
      <c r="K224" s="48" t="s">
        <v>83</v>
      </c>
      <c r="L224" s="48" t="s">
        <v>85</v>
      </c>
      <c r="M224" s="38">
        <v>41820</v>
      </c>
      <c r="N224" s="48"/>
      <c r="O224" s="35">
        <v>17000</v>
      </c>
      <c r="P224" s="35"/>
      <c r="Q224" s="35"/>
      <c r="R224" s="35"/>
      <c r="S224" s="41"/>
    </row>
    <row r="225" spans="1:19" s="15" customFormat="1" ht="38.25" customHeight="1" x14ac:dyDescent="0.2">
      <c r="A225" s="43" t="s">
        <v>683</v>
      </c>
      <c r="B225" s="46" t="s">
        <v>688</v>
      </c>
      <c r="C225" s="44" t="s">
        <v>709</v>
      </c>
      <c r="D225" s="47">
        <v>7804</v>
      </c>
      <c r="E225" s="46" t="s">
        <v>701</v>
      </c>
      <c r="F225" s="35">
        <v>43750</v>
      </c>
      <c r="G225" s="40">
        <v>43750</v>
      </c>
      <c r="H225" s="35">
        <v>0</v>
      </c>
      <c r="I225" s="35">
        <f t="shared" si="38"/>
        <v>43750</v>
      </c>
      <c r="J225" s="36">
        <f t="shared" si="39"/>
        <v>0</v>
      </c>
      <c r="K225" s="48" t="s">
        <v>83</v>
      </c>
      <c r="L225" s="48" t="s">
        <v>83</v>
      </c>
      <c r="M225" s="38">
        <v>41820</v>
      </c>
      <c r="N225" s="48"/>
      <c r="O225" s="35">
        <v>43750</v>
      </c>
      <c r="P225" s="35"/>
      <c r="Q225" s="35"/>
      <c r="R225" s="35"/>
      <c r="S225" s="41"/>
    </row>
    <row r="226" spans="1:19" s="15" customFormat="1" ht="26.25" customHeight="1" x14ac:dyDescent="0.2">
      <c r="A226" s="43" t="s">
        <v>684</v>
      </c>
      <c r="B226" s="46" t="s">
        <v>39</v>
      </c>
      <c r="C226" s="44" t="s">
        <v>620</v>
      </c>
      <c r="D226" s="47">
        <v>7810</v>
      </c>
      <c r="E226" s="46" t="s">
        <v>699</v>
      </c>
      <c r="F226" s="35">
        <v>15000</v>
      </c>
      <c r="G226" s="40">
        <v>15000</v>
      </c>
      <c r="H226" s="35">
        <v>0</v>
      </c>
      <c r="I226" s="35">
        <f t="shared" si="38"/>
        <v>15000</v>
      </c>
      <c r="J226" s="36">
        <f t="shared" si="39"/>
        <v>0</v>
      </c>
      <c r="K226" s="48" t="s">
        <v>83</v>
      </c>
      <c r="L226" s="48" t="s">
        <v>83</v>
      </c>
      <c r="M226" s="38">
        <v>41698</v>
      </c>
      <c r="N226" s="48"/>
      <c r="O226" s="35">
        <v>15000</v>
      </c>
      <c r="P226" s="35"/>
      <c r="Q226" s="35"/>
      <c r="R226" s="35"/>
      <c r="S226" s="41"/>
    </row>
    <row r="227" spans="1:19" s="15" customFormat="1" ht="26.25" customHeight="1" x14ac:dyDescent="0.2">
      <c r="A227" s="43" t="s">
        <v>685</v>
      </c>
      <c r="B227" s="46" t="s">
        <v>39</v>
      </c>
      <c r="C227" s="44" t="s">
        <v>710</v>
      </c>
      <c r="D227" s="47">
        <v>7823</v>
      </c>
      <c r="E227" s="46" t="s">
        <v>700</v>
      </c>
      <c r="F227" s="35">
        <v>10001</v>
      </c>
      <c r="G227" s="40">
        <v>10001</v>
      </c>
      <c r="H227" s="35">
        <v>0</v>
      </c>
      <c r="I227" s="35">
        <f t="shared" si="38"/>
        <v>10001</v>
      </c>
      <c r="J227" s="36">
        <f t="shared" si="39"/>
        <v>0</v>
      </c>
      <c r="K227" s="48" t="s">
        <v>83</v>
      </c>
      <c r="L227" s="48" t="s">
        <v>83</v>
      </c>
      <c r="M227" s="38">
        <v>41685</v>
      </c>
      <c r="N227" s="48"/>
      <c r="O227" s="35">
        <v>10001</v>
      </c>
      <c r="P227" s="35"/>
      <c r="Q227" s="35"/>
      <c r="R227" s="35"/>
      <c r="S227" s="41"/>
    </row>
    <row r="228" spans="1:19" s="15" customFormat="1" ht="26.25" customHeight="1" x14ac:dyDescent="0.2">
      <c r="A228" s="43" t="s">
        <v>686</v>
      </c>
      <c r="B228" s="46" t="s">
        <v>47</v>
      </c>
      <c r="C228" s="44" t="s">
        <v>711</v>
      </c>
      <c r="D228" s="47">
        <v>7825</v>
      </c>
      <c r="E228" s="46" t="s">
        <v>338</v>
      </c>
      <c r="F228" s="35">
        <v>10000</v>
      </c>
      <c r="G228" s="40">
        <v>10000</v>
      </c>
      <c r="H228" s="35">
        <v>0</v>
      </c>
      <c r="I228" s="35">
        <f t="shared" si="38"/>
        <v>10000</v>
      </c>
      <c r="J228" s="36">
        <f t="shared" si="39"/>
        <v>0</v>
      </c>
      <c r="K228" s="48" t="s">
        <v>83</v>
      </c>
      <c r="L228" s="48" t="s">
        <v>83</v>
      </c>
      <c r="M228" s="38">
        <v>41820</v>
      </c>
      <c r="N228" s="48"/>
      <c r="O228" s="35">
        <v>10000</v>
      </c>
      <c r="P228" s="35"/>
      <c r="Q228" s="35"/>
      <c r="R228" s="35"/>
      <c r="S228" s="41"/>
    </row>
    <row r="229" spans="1:19" s="15" customFormat="1" ht="26.25" customHeight="1" x14ac:dyDescent="0.2">
      <c r="A229" s="43" t="s">
        <v>715</v>
      </c>
      <c r="B229" s="46" t="s">
        <v>46</v>
      </c>
      <c r="C229" s="44" t="s">
        <v>729</v>
      </c>
      <c r="D229" s="47">
        <v>7816</v>
      </c>
      <c r="E229" s="46" t="s">
        <v>739</v>
      </c>
      <c r="F229" s="35">
        <f>15000*3</f>
        <v>45000</v>
      </c>
      <c r="G229" s="40">
        <f>15000*3</f>
        <v>45000</v>
      </c>
      <c r="H229" s="35">
        <v>0</v>
      </c>
      <c r="I229" s="35">
        <f t="shared" ref="I229:I242" si="40">G229+H229</f>
        <v>45000</v>
      </c>
      <c r="J229" s="36">
        <f t="shared" ref="J229:J242" si="41">IF(G229=0,100%,(I229-G229)/G229)</f>
        <v>0</v>
      </c>
      <c r="K229" s="48" t="s">
        <v>83</v>
      </c>
      <c r="L229" s="48" t="s">
        <v>83</v>
      </c>
      <c r="M229" s="38">
        <v>42035</v>
      </c>
      <c r="N229" s="48" t="s">
        <v>84</v>
      </c>
      <c r="O229" s="35">
        <v>15000</v>
      </c>
      <c r="P229" s="35">
        <v>15000</v>
      </c>
      <c r="Q229" s="35">
        <v>15000</v>
      </c>
      <c r="R229" s="35"/>
      <c r="S229" s="41"/>
    </row>
    <row r="230" spans="1:19" s="15" customFormat="1" ht="26.25" customHeight="1" x14ac:dyDescent="0.2">
      <c r="A230" s="43" t="s">
        <v>716</v>
      </c>
      <c r="B230" s="46" t="s">
        <v>46</v>
      </c>
      <c r="C230" s="44" t="s">
        <v>730</v>
      </c>
      <c r="D230" s="47">
        <v>7817</v>
      </c>
      <c r="E230" s="46" t="s">
        <v>739</v>
      </c>
      <c r="F230" s="35">
        <f>15000*3</f>
        <v>45000</v>
      </c>
      <c r="G230" s="40">
        <f>15000*3</f>
        <v>45000</v>
      </c>
      <c r="H230" s="35">
        <v>0</v>
      </c>
      <c r="I230" s="35">
        <f t="shared" si="40"/>
        <v>45000</v>
      </c>
      <c r="J230" s="36">
        <f t="shared" si="41"/>
        <v>0</v>
      </c>
      <c r="K230" s="48" t="s">
        <v>83</v>
      </c>
      <c r="L230" s="48" t="s">
        <v>83</v>
      </c>
      <c r="M230" s="38">
        <v>42035</v>
      </c>
      <c r="N230" s="48" t="s">
        <v>84</v>
      </c>
      <c r="O230" s="35">
        <v>15000</v>
      </c>
      <c r="P230" s="35">
        <v>15000</v>
      </c>
      <c r="Q230" s="35">
        <v>15000</v>
      </c>
      <c r="R230" s="35"/>
      <c r="S230" s="41"/>
    </row>
    <row r="231" spans="1:19" s="15" customFormat="1" ht="26.25" customHeight="1" x14ac:dyDescent="0.2">
      <c r="A231" s="43" t="s">
        <v>717</v>
      </c>
      <c r="B231" s="46" t="s">
        <v>41</v>
      </c>
      <c r="C231" s="44" t="s">
        <v>731</v>
      </c>
      <c r="D231" s="47">
        <v>7831</v>
      </c>
      <c r="E231" s="46" t="s">
        <v>740</v>
      </c>
      <c r="F231" s="35">
        <v>7853</v>
      </c>
      <c r="G231" s="40">
        <v>7853</v>
      </c>
      <c r="H231" s="35">
        <v>0</v>
      </c>
      <c r="I231" s="35">
        <f t="shared" si="40"/>
        <v>7853</v>
      </c>
      <c r="J231" s="36">
        <f t="shared" si="41"/>
        <v>0</v>
      </c>
      <c r="K231" s="48" t="s">
        <v>83</v>
      </c>
      <c r="L231" s="48" t="s">
        <v>85</v>
      </c>
      <c r="M231" s="38">
        <v>41820</v>
      </c>
      <c r="N231" s="48"/>
      <c r="O231" s="35">
        <v>7853</v>
      </c>
      <c r="P231" s="35"/>
      <c r="Q231" s="35"/>
      <c r="R231" s="35"/>
      <c r="S231" s="41"/>
    </row>
    <row r="232" spans="1:19" s="15" customFormat="1" ht="26.25" customHeight="1" x14ac:dyDescent="0.2">
      <c r="A232" s="43" t="s">
        <v>718</v>
      </c>
      <c r="B232" s="46" t="s">
        <v>94</v>
      </c>
      <c r="C232" s="44" t="s">
        <v>732</v>
      </c>
      <c r="D232" s="47">
        <v>7861</v>
      </c>
      <c r="E232" s="46" t="s">
        <v>741</v>
      </c>
      <c r="F232" s="35">
        <v>49500</v>
      </c>
      <c r="G232" s="40">
        <v>49500</v>
      </c>
      <c r="H232" s="35">
        <v>0</v>
      </c>
      <c r="I232" s="35">
        <f t="shared" si="40"/>
        <v>49500</v>
      </c>
      <c r="J232" s="36">
        <f t="shared" si="41"/>
        <v>0</v>
      </c>
      <c r="K232" s="48" t="s">
        <v>83</v>
      </c>
      <c r="L232" s="48" t="s">
        <v>83</v>
      </c>
      <c r="M232" s="38">
        <v>42063</v>
      </c>
      <c r="N232" s="48"/>
      <c r="O232" s="35">
        <v>49500</v>
      </c>
      <c r="P232" s="35"/>
      <c r="Q232" s="35"/>
      <c r="R232" s="35"/>
      <c r="S232" s="41"/>
    </row>
    <row r="233" spans="1:19" s="15" customFormat="1" ht="38.25" customHeight="1" x14ac:dyDescent="0.2">
      <c r="A233" s="43" t="s">
        <v>719</v>
      </c>
      <c r="B233" s="46" t="s">
        <v>39</v>
      </c>
      <c r="C233" s="44" t="s">
        <v>442</v>
      </c>
      <c r="D233" s="47">
        <v>7862</v>
      </c>
      <c r="E233" s="46" t="s">
        <v>742</v>
      </c>
      <c r="F233" s="35">
        <v>5090</v>
      </c>
      <c r="G233" s="40">
        <v>5090</v>
      </c>
      <c r="H233" s="35">
        <v>0</v>
      </c>
      <c r="I233" s="35">
        <f t="shared" si="40"/>
        <v>5090</v>
      </c>
      <c r="J233" s="36">
        <f t="shared" si="41"/>
        <v>0</v>
      </c>
      <c r="K233" s="48" t="s">
        <v>83</v>
      </c>
      <c r="L233" s="48" t="s">
        <v>83</v>
      </c>
      <c r="M233" s="38">
        <v>41698</v>
      </c>
      <c r="N233" s="48"/>
      <c r="O233" s="35">
        <v>5090</v>
      </c>
      <c r="P233" s="35"/>
      <c r="Q233" s="35"/>
      <c r="R233" s="35"/>
      <c r="S233" s="41"/>
    </row>
    <row r="234" spans="1:19" s="15" customFormat="1" ht="38.25" customHeight="1" x14ac:dyDescent="0.2">
      <c r="A234" s="43" t="s">
        <v>720</v>
      </c>
      <c r="B234" s="46" t="s">
        <v>39</v>
      </c>
      <c r="C234" s="44" t="s">
        <v>733</v>
      </c>
      <c r="D234" s="47">
        <v>7872</v>
      </c>
      <c r="E234" s="46" t="s">
        <v>742</v>
      </c>
      <c r="F234" s="35">
        <v>5365</v>
      </c>
      <c r="G234" s="40">
        <v>5365</v>
      </c>
      <c r="H234" s="35">
        <v>0</v>
      </c>
      <c r="I234" s="35">
        <f t="shared" si="40"/>
        <v>5365</v>
      </c>
      <c r="J234" s="36">
        <f t="shared" si="41"/>
        <v>0</v>
      </c>
      <c r="K234" s="48" t="s">
        <v>83</v>
      </c>
      <c r="L234" s="48" t="s">
        <v>83</v>
      </c>
      <c r="M234" s="38">
        <v>41698</v>
      </c>
      <c r="N234" s="48"/>
      <c r="O234" s="35">
        <v>5365</v>
      </c>
      <c r="P234" s="35"/>
      <c r="Q234" s="35"/>
      <c r="R234" s="35"/>
      <c r="S234" s="41"/>
    </row>
    <row r="235" spans="1:19" s="15" customFormat="1" ht="26.25" customHeight="1" x14ac:dyDescent="0.2">
      <c r="A235" s="43" t="s">
        <v>721</v>
      </c>
      <c r="B235" s="46" t="s">
        <v>159</v>
      </c>
      <c r="C235" s="44" t="s">
        <v>734</v>
      </c>
      <c r="D235" s="47">
        <v>7873</v>
      </c>
      <c r="E235" s="46" t="s">
        <v>743</v>
      </c>
      <c r="F235" s="35">
        <v>35000</v>
      </c>
      <c r="G235" s="40">
        <v>35000</v>
      </c>
      <c r="H235" s="35">
        <v>0</v>
      </c>
      <c r="I235" s="35">
        <f t="shared" si="40"/>
        <v>35000</v>
      </c>
      <c r="J235" s="36">
        <f t="shared" si="41"/>
        <v>0</v>
      </c>
      <c r="K235" s="48" t="s">
        <v>83</v>
      </c>
      <c r="L235" s="48" t="s">
        <v>83</v>
      </c>
      <c r="M235" s="38">
        <v>41820</v>
      </c>
      <c r="N235" s="48"/>
      <c r="O235" s="35">
        <v>35000</v>
      </c>
      <c r="P235" s="35"/>
      <c r="Q235" s="35"/>
      <c r="R235" s="35"/>
      <c r="S235" s="41"/>
    </row>
    <row r="236" spans="1:19" s="15" customFormat="1" ht="26.25" customHeight="1" x14ac:dyDescent="0.2">
      <c r="A236" s="43" t="s">
        <v>722</v>
      </c>
      <c r="B236" s="46" t="s">
        <v>41</v>
      </c>
      <c r="C236" s="44" t="s">
        <v>735</v>
      </c>
      <c r="D236" s="47">
        <v>7880</v>
      </c>
      <c r="E236" s="46" t="s">
        <v>749</v>
      </c>
      <c r="F236" s="35">
        <v>7429</v>
      </c>
      <c r="G236" s="40">
        <v>7429</v>
      </c>
      <c r="H236" s="35">
        <v>0</v>
      </c>
      <c r="I236" s="35">
        <f t="shared" si="40"/>
        <v>7429</v>
      </c>
      <c r="J236" s="36">
        <f t="shared" si="41"/>
        <v>0</v>
      </c>
      <c r="K236" s="48" t="s">
        <v>83</v>
      </c>
      <c r="L236" s="48" t="s">
        <v>85</v>
      </c>
      <c r="M236" s="38">
        <v>41820</v>
      </c>
      <c r="N236" s="48"/>
      <c r="O236" s="35">
        <v>7429</v>
      </c>
      <c r="P236" s="35"/>
      <c r="Q236" s="35"/>
      <c r="R236" s="35"/>
      <c r="S236" s="41"/>
    </row>
    <row r="237" spans="1:19" s="15" customFormat="1" ht="26.25" customHeight="1" x14ac:dyDescent="0.2">
      <c r="A237" s="43" t="s">
        <v>723</v>
      </c>
      <c r="B237" s="46" t="s">
        <v>41</v>
      </c>
      <c r="C237" s="44" t="s">
        <v>254</v>
      </c>
      <c r="D237" s="47">
        <v>7881</v>
      </c>
      <c r="E237" s="46" t="s">
        <v>744</v>
      </c>
      <c r="F237" s="35">
        <v>10963</v>
      </c>
      <c r="G237" s="40">
        <v>10963</v>
      </c>
      <c r="H237" s="35">
        <v>0</v>
      </c>
      <c r="I237" s="35">
        <f t="shared" si="40"/>
        <v>10963</v>
      </c>
      <c r="J237" s="36">
        <f t="shared" si="41"/>
        <v>0</v>
      </c>
      <c r="K237" s="48" t="s">
        <v>83</v>
      </c>
      <c r="L237" s="48" t="s">
        <v>85</v>
      </c>
      <c r="M237" s="38">
        <v>41820</v>
      </c>
      <c r="N237" s="48"/>
      <c r="O237" s="35">
        <v>10963</v>
      </c>
      <c r="P237" s="35"/>
      <c r="Q237" s="35"/>
      <c r="R237" s="35"/>
      <c r="S237" s="41"/>
    </row>
    <row r="238" spans="1:19" s="15" customFormat="1" ht="26.25" customHeight="1" x14ac:dyDescent="0.2">
      <c r="A238" s="43" t="s">
        <v>724</v>
      </c>
      <c r="B238" s="46" t="s">
        <v>159</v>
      </c>
      <c r="C238" s="44" t="s">
        <v>466</v>
      </c>
      <c r="D238" s="47" t="s">
        <v>750</v>
      </c>
      <c r="E238" s="46" t="s">
        <v>464</v>
      </c>
      <c r="F238" s="35">
        <v>35000</v>
      </c>
      <c r="G238" s="40">
        <v>12189</v>
      </c>
      <c r="H238" s="35">
        <f>5850+35000</f>
        <v>40850</v>
      </c>
      <c r="I238" s="35">
        <f t="shared" si="40"/>
        <v>53039</v>
      </c>
      <c r="J238" s="36">
        <f t="shared" si="41"/>
        <v>3.3513823939617686</v>
      </c>
      <c r="K238" s="48" t="s">
        <v>83</v>
      </c>
      <c r="L238" s="48" t="s">
        <v>83</v>
      </c>
      <c r="M238" s="38">
        <v>41820</v>
      </c>
      <c r="N238" s="48" t="s">
        <v>86</v>
      </c>
      <c r="O238" s="35">
        <v>35000</v>
      </c>
      <c r="P238" s="35"/>
      <c r="Q238" s="35"/>
      <c r="R238" s="35"/>
      <c r="S238" s="41"/>
    </row>
    <row r="239" spans="1:19" s="15" customFormat="1" ht="26.25" customHeight="1" x14ac:dyDescent="0.2">
      <c r="A239" s="43" t="s">
        <v>725</v>
      </c>
      <c r="B239" s="46" t="s">
        <v>315</v>
      </c>
      <c r="C239" s="44" t="s">
        <v>736</v>
      </c>
      <c r="D239" s="47">
        <v>7886</v>
      </c>
      <c r="E239" s="46" t="s">
        <v>745</v>
      </c>
      <c r="F239" s="35">
        <v>15000</v>
      </c>
      <c r="G239" s="40">
        <v>15000</v>
      </c>
      <c r="H239" s="35">
        <v>0</v>
      </c>
      <c r="I239" s="35">
        <f t="shared" si="40"/>
        <v>15000</v>
      </c>
      <c r="J239" s="36">
        <f t="shared" si="41"/>
        <v>0</v>
      </c>
      <c r="K239" s="48" t="s">
        <v>83</v>
      </c>
      <c r="L239" s="48" t="s">
        <v>83</v>
      </c>
      <c r="M239" s="38">
        <v>41820</v>
      </c>
      <c r="N239" s="48"/>
      <c r="O239" s="35">
        <v>15000</v>
      </c>
      <c r="P239" s="35"/>
      <c r="Q239" s="35"/>
      <c r="R239" s="35"/>
      <c r="S239" s="41"/>
    </row>
    <row r="240" spans="1:19" s="15" customFormat="1" ht="26.25" customHeight="1" x14ac:dyDescent="0.2">
      <c r="A240" s="43" t="s">
        <v>726</v>
      </c>
      <c r="B240" s="46" t="s">
        <v>41</v>
      </c>
      <c r="C240" s="44" t="s">
        <v>735</v>
      </c>
      <c r="D240" s="47">
        <v>7887</v>
      </c>
      <c r="E240" s="46" t="s">
        <v>746</v>
      </c>
      <c r="F240" s="35">
        <v>13411</v>
      </c>
      <c r="G240" s="40">
        <v>13411</v>
      </c>
      <c r="H240" s="35">
        <v>0</v>
      </c>
      <c r="I240" s="35">
        <f t="shared" si="40"/>
        <v>13411</v>
      </c>
      <c r="J240" s="36">
        <f t="shared" si="41"/>
        <v>0</v>
      </c>
      <c r="K240" s="48" t="s">
        <v>83</v>
      </c>
      <c r="L240" s="48" t="s">
        <v>85</v>
      </c>
      <c r="M240" s="38">
        <v>41820</v>
      </c>
      <c r="N240" s="48"/>
      <c r="O240" s="35">
        <v>13411</v>
      </c>
      <c r="P240" s="35"/>
      <c r="Q240" s="35"/>
      <c r="R240" s="35"/>
      <c r="S240" s="41"/>
    </row>
    <row r="241" spans="1:19" s="15" customFormat="1" ht="26.25" customHeight="1" x14ac:dyDescent="0.2">
      <c r="A241" s="43" t="s">
        <v>727</v>
      </c>
      <c r="B241" s="46" t="s">
        <v>40</v>
      </c>
      <c r="C241" s="44" t="s">
        <v>737</v>
      </c>
      <c r="D241" s="47">
        <v>7897</v>
      </c>
      <c r="E241" s="46" t="s">
        <v>747</v>
      </c>
      <c r="F241" s="35">
        <f>10000*3</f>
        <v>30000</v>
      </c>
      <c r="G241" s="40">
        <f>10000*3</f>
        <v>30000</v>
      </c>
      <c r="H241" s="35">
        <v>0</v>
      </c>
      <c r="I241" s="35">
        <f t="shared" si="40"/>
        <v>30000</v>
      </c>
      <c r="J241" s="36">
        <f t="shared" si="41"/>
        <v>0</v>
      </c>
      <c r="K241" s="48" t="s">
        <v>83</v>
      </c>
      <c r="L241" s="48" t="s">
        <v>85</v>
      </c>
      <c r="M241" s="38">
        <v>41820</v>
      </c>
      <c r="N241" s="48" t="s">
        <v>84</v>
      </c>
      <c r="O241" s="35">
        <v>10000</v>
      </c>
      <c r="P241" s="35">
        <v>10000</v>
      </c>
      <c r="Q241" s="35">
        <v>10000</v>
      </c>
      <c r="R241" s="35"/>
      <c r="S241" s="41"/>
    </row>
    <row r="242" spans="1:19" s="15" customFormat="1" ht="26.25" customHeight="1" x14ac:dyDescent="0.2">
      <c r="A242" s="43" t="s">
        <v>728</v>
      </c>
      <c r="B242" s="46" t="s">
        <v>40</v>
      </c>
      <c r="C242" s="44" t="s">
        <v>738</v>
      </c>
      <c r="D242" s="47">
        <v>7899</v>
      </c>
      <c r="E242" s="46" t="s">
        <v>748</v>
      </c>
      <c r="F242" s="35">
        <f>15000*3</f>
        <v>45000</v>
      </c>
      <c r="G242" s="35">
        <f>15000*3</f>
        <v>45000</v>
      </c>
      <c r="H242" s="35">
        <v>0</v>
      </c>
      <c r="I242" s="35">
        <f t="shared" si="40"/>
        <v>45000</v>
      </c>
      <c r="J242" s="36">
        <f t="shared" si="41"/>
        <v>0</v>
      </c>
      <c r="K242" s="48" t="s">
        <v>83</v>
      </c>
      <c r="L242" s="48" t="s">
        <v>85</v>
      </c>
      <c r="M242" s="38">
        <v>41820</v>
      </c>
      <c r="N242" s="48" t="s">
        <v>84</v>
      </c>
      <c r="O242" s="35">
        <v>15000</v>
      </c>
      <c r="P242" s="35">
        <v>15000</v>
      </c>
      <c r="Q242" s="35">
        <v>15000</v>
      </c>
      <c r="R242" s="35"/>
      <c r="S242" s="41"/>
    </row>
    <row r="243" spans="1:19" s="15" customFormat="1" ht="26.25" customHeight="1" x14ac:dyDescent="0.2">
      <c r="A243" s="43" t="s">
        <v>751</v>
      </c>
      <c r="B243" s="46" t="s">
        <v>41</v>
      </c>
      <c r="C243" s="44" t="s">
        <v>538</v>
      </c>
      <c r="D243" s="47" t="s">
        <v>761</v>
      </c>
      <c r="E243" s="46" t="s">
        <v>764</v>
      </c>
      <c r="F243" s="35">
        <v>25000</v>
      </c>
      <c r="G243" s="40">
        <v>22330</v>
      </c>
      <c r="H243" s="35">
        <f>25000+25000+25000</f>
        <v>75000</v>
      </c>
      <c r="I243" s="35">
        <f t="shared" ref="I243:I248" si="42">G243+H243</f>
        <v>97330</v>
      </c>
      <c r="J243" s="36">
        <f t="shared" ref="J243:J248" si="43">IF(G243=0,100%,(I243-G243)/G243)</f>
        <v>3.3587102552619794</v>
      </c>
      <c r="K243" s="48" t="s">
        <v>83</v>
      </c>
      <c r="L243" s="48" t="s">
        <v>83</v>
      </c>
      <c r="M243" s="38">
        <v>41820</v>
      </c>
      <c r="N243" s="48" t="s">
        <v>86</v>
      </c>
      <c r="O243" s="35">
        <v>25000</v>
      </c>
      <c r="P243" s="35"/>
      <c r="Q243" s="35"/>
      <c r="R243" s="35"/>
      <c r="S243" s="41"/>
    </row>
    <row r="244" spans="1:19" s="15" customFormat="1" ht="26.25" customHeight="1" x14ac:dyDescent="0.2">
      <c r="A244" s="43" t="s">
        <v>752</v>
      </c>
      <c r="B244" s="46" t="s">
        <v>159</v>
      </c>
      <c r="C244" s="44" t="s">
        <v>758</v>
      </c>
      <c r="D244" s="47">
        <v>7882</v>
      </c>
      <c r="E244" s="46" t="s">
        <v>766</v>
      </c>
      <c r="F244" s="35">
        <v>93300</v>
      </c>
      <c r="G244" s="40">
        <v>93300</v>
      </c>
      <c r="H244" s="35">
        <v>0</v>
      </c>
      <c r="I244" s="35">
        <f t="shared" si="42"/>
        <v>93300</v>
      </c>
      <c r="J244" s="36">
        <f t="shared" si="43"/>
        <v>0</v>
      </c>
      <c r="K244" s="48" t="s">
        <v>83</v>
      </c>
      <c r="L244" s="48" t="s">
        <v>83</v>
      </c>
      <c r="M244" s="38">
        <v>41820</v>
      </c>
      <c r="N244" s="48"/>
      <c r="O244" s="35">
        <v>93300</v>
      </c>
      <c r="P244" s="35"/>
      <c r="Q244" s="35"/>
      <c r="R244" s="35"/>
      <c r="S244" s="41"/>
    </row>
    <row r="245" spans="1:19" s="15" customFormat="1" ht="26.25" customHeight="1" x14ac:dyDescent="0.2">
      <c r="A245" s="43" t="s">
        <v>753</v>
      </c>
      <c r="B245" s="46" t="s">
        <v>159</v>
      </c>
      <c r="C245" s="44" t="s">
        <v>288</v>
      </c>
      <c r="D245" s="47" t="s">
        <v>762</v>
      </c>
      <c r="E245" s="46" t="s">
        <v>765</v>
      </c>
      <c r="F245" s="35">
        <v>74000</v>
      </c>
      <c r="G245" s="40">
        <v>25000</v>
      </c>
      <c r="H245" s="35">
        <v>74000</v>
      </c>
      <c r="I245" s="35">
        <f t="shared" si="42"/>
        <v>99000</v>
      </c>
      <c r="J245" s="36">
        <f t="shared" si="43"/>
        <v>2.96</v>
      </c>
      <c r="K245" s="48" t="s">
        <v>83</v>
      </c>
      <c r="L245" s="48" t="s">
        <v>83</v>
      </c>
      <c r="M245" s="38">
        <v>41820</v>
      </c>
      <c r="N245" s="48" t="s">
        <v>86</v>
      </c>
      <c r="O245" s="35">
        <v>74000</v>
      </c>
      <c r="P245" s="35"/>
      <c r="Q245" s="35"/>
      <c r="R245" s="35"/>
      <c r="S245" s="41"/>
    </row>
    <row r="246" spans="1:19" s="15" customFormat="1" ht="26.25" customHeight="1" x14ac:dyDescent="0.2">
      <c r="A246" s="43" t="s">
        <v>754</v>
      </c>
      <c r="B246" s="46" t="s">
        <v>557</v>
      </c>
      <c r="C246" s="44" t="s">
        <v>759</v>
      </c>
      <c r="D246" s="47">
        <v>7854</v>
      </c>
      <c r="E246" s="46" t="s">
        <v>767</v>
      </c>
      <c r="F246" s="35">
        <f>82000*3</f>
        <v>246000</v>
      </c>
      <c r="G246" s="40">
        <f>82000*3</f>
        <v>246000</v>
      </c>
      <c r="H246" s="35">
        <v>0</v>
      </c>
      <c r="I246" s="35">
        <f t="shared" si="42"/>
        <v>246000</v>
      </c>
      <c r="J246" s="36">
        <f t="shared" si="43"/>
        <v>0</v>
      </c>
      <c r="K246" s="48" t="s">
        <v>83</v>
      </c>
      <c r="L246" s="48" t="s">
        <v>83</v>
      </c>
      <c r="M246" s="38">
        <v>42035</v>
      </c>
      <c r="N246" s="48" t="s">
        <v>84</v>
      </c>
      <c r="O246" s="35">
        <v>82000</v>
      </c>
      <c r="P246" s="35">
        <v>82000</v>
      </c>
      <c r="Q246" s="35">
        <v>82000</v>
      </c>
      <c r="R246" s="35"/>
      <c r="S246" s="41"/>
    </row>
    <row r="247" spans="1:19" s="15" customFormat="1" ht="26.25" customHeight="1" x14ac:dyDescent="0.2">
      <c r="A247" s="43" t="s">
        <v>755</v>
      </c>
      <c r="B247" s="46" t="s">
        <v>757</v>
      </c>
      <c r="C247" s="44" t="s">
        <v>760</v>
      </c>
      <c r="D247" s="47" t="s">
        <v>65</v>
      </c>
      <c r="E247" s="46" t="s">
        <v>768</v>
      </c>
      <c r="F247" s="35">
        <v>98000</v>
      </c>
      <c r="G247" s="40">
        <v>98000</v>
      </c>
      <c r="H247" s="35">
        <v>0</v>
      </c>
      <c r="I247" s="35">
        <f t="shared" si="42"/>
        <v>98000</v>
      </c>
      <c r="J247" s="36">
        <f t="shared" si="43"/>
        <v>0</v>
      </c>
      <c r="K247" s="48" t="s">
        <v>83</v>
      </c>
      <c r="L247" s="48" t="s">
        <v>85</v>
      </c>
      <c r="M247" s="38">
        <v>41820</v>
      </c>
      <c r="N247" s="48"/>
      <c r="O247" s="35">
        <v>98000</v>
      </c>
      <c r="P247" s="35"/>
      <c r="Q247" s="35"/>
      <c r="R247" s="35"/>
      <c r="S247" s="41"/>
    </row>
    <row r="248" spans="1:19" s="15" customFormat="1" ht="26.25" customHeight="1" x14ac:dyDescent="0.2">
      <c r="A248" s="43" t="s">
        <v>756</v>
      </c>
      <c r="B248" s="46" t="s">
        <v>619</v>
      </c>
      <c r="C248" s="44" t="s">
        <v>283</v>
      </c>
      <c r="D248" s="47" t="s">
        <v>763</v>
      </c>
      <c r="E248" s="46" t="s">
        <v>298</v>
      </c>
      <c r="F248" s="35">
        <v>45000</v>
      </c>
      <c r="G248" s="40">
        <v>44500</v>
      </c>
      <c r="H248" s="35">
        <f>40000+14500+45000</f>
        <v>99500</v>
      </c>
      <c r="I248" s="35">
        <f t="shared" si="42"/>
        <v>144000</v>
      </c>
      <c r="J248" s="36">
        <f t="shared" si="43"/>
        <v>2.2359550561797752</v>
      </c>
      <c r="K248" s="48" t="s">
        <v>83</v>
      </c>
      <c r="L248" s="48" t="s">
        <v>83</v>
      </c>
      <c r="M248" s="38">
        <v>41820</v>
      </c>
      <c r="N248" s="48" t="s">
        <v>86</v>
      </c>
      <c r="O248" s="35">
        <v>45000</v>
      </c>
      <c r="P248" s="35"/>
      <c r="Q248" s="35"/>
      <c r="R248" s="35"/>
      <c r="S248" s="41"/>
    </row>
    <row r="249" spans="1:19" s="15" customFormat="1" ht="26.25" customHeight="1" x14ac:dyDescent="0.2">
      <c r="A249" s="43" t="s">
        <v>769</v>
      </c>
      <c r="B249" s="46" t="s">
        <v>125</v>
      </c>
      <c r="C249" s="44" t="s">
        <v>629</v>
      </c>
      <c r="D249" s="47">
        <v>7893</v>
      </c>
      <c r="E249" s="46" t="s">
        <v>779</v>
      </c>
      <c r="F249" s="35">
        <v>13583</v>
      </c>
      <c r="G249" s="40">
        <v>13583</v>
      </c>
      <c r="H249" s="35">
        <v>0</v>
      </c>
      <c r="I249" s="35">
        <f t="shared" ref="I249:I262" si="44">G249+H249</f>
        <v>13583</v>
      </c>
      <c r="J249" s="36">
        <f t="shared" ref="J249:J262" si="45">IF(G249=0,100%,(I249-G249)/G249)</f>
        <v>0</v>
      </c>
      <c r="K249" s="48" t="s">
        <v>85</v>
      </c>
      <c r="L249" s="48" t="s">
        <v>85</v>
      </c>
      <c r="M249" s="38">
        <v>42004</v>
      </c>
      <c r="N249" s="48"/>
      <c r="O249" s="35">
        <v>13583</v>
      </c>
      <c r="P249" s="35"/>
      <c r="Q249" s="35"/>
      <c r="R249" s="35"/>
      <c r="S249" s="41"/>
    </row>
    <row r="250" spans="1:19" s="15" customFormat="1" ht="26.25" customHeight="1" x14ac:dyDescent="0.2">
      <c r="A250" s="43" t="s">
        <v>770</v>
      </c>
      <c r="B250" s="46" t="s">
        <v>315</v>
      </c>
      <c r="C250" s="44" t="s">
        <v>774</v>
      </c>
      <c r="D250" s="47" t="s">
        <v>778</v>
      </c>
      <c r="E250" s="46" t="s">
        <v>780</v>
      </c>
      <c r="F250" s="35">
        <v>15000</v>
      </c>
      <c r="G250" s="40">
        <v>15000</v>
      </c>
      <c r="H250" s="35">
        <v>0</v>
      </c>
      <c r="I250" s="35">
        <f t="shared" si="44"/>
        <v>15000</v>
      </c>
      <c r="J250" s="36">
        <f t="shared" si="45"/>
        <v>0</v>
      </c>
      <c r="K250" s="48" t="s">
        <v>83</v>
      </c>
      <c r="L250" s="48" t="s">
        <v>83</v>
      </c>
      <c r="M250" s="38">
        <v>41820</v>
      </c>
      <c r="N250" s="48"/>
      <c r="O250" s="35">
        <v>15000</v>
      </c>
      <c r="P250" s="35"/>
      <c r="Q250" s="35"/>
      <c r="R250" s="35"/>
      <c r="S250" s="41"/>
    </row>
    <row r="251" spans="1:19" s="15" customFormat="1" ht="26.25" customHeight="1" x14ac:dyDescent="0.2">
      <c r="A251" s="43" t="s">
        <v>771</v>
      </c>
      <c r="B251" s="46" t="s">
        <v>46</v>
      </c>
      <c r="C251" s="44" t="s">
        <v>775</v>
      </c>
      <c r="D251" s="47">
        <v>7913</v>
      </c>
      <c r="E251" s="46" t="s">
        <v>781</v>
      </c>
      <c r="F251" s="35">
        <v>42278</v>
      </c>
      <c r="G251" s="40">
        <v>42278</v>
      </c>
      <c r="H251" s="35">
        <v>0</v>
      </c>
      <c r="I251" s="35">
        <f t="shared" si="44"/>
        <v>42278</v>
      </c>
      <c r="J251" s="36">
        <f t="shared" si="45"/>
        <v>0</v>
      </c>
      <c r="K251" s="48" t="s">
        <v>83</v>
      </c>
      <c r="L251" s="48" t="s">
        <v>85</v>
      </c>
      <c r="M251" s="38">
        <v>41874</v>
      </c>
      <c r="N251" s="48"/>
      <c r="O251" s="35">
        <v>42278</v>
      </c>
      <c r="P251" s="35"/>
      <c r="Q251" s="35"/>
      <c r="R251" s="35"/>
      <c r="S251" s="41"/>
    </row>
    <row r="252" spans="1:19" s="15" customFormat="1" ht="26.25" customHeight="1" x14ac:dyDescent="0.2">
      <c r="A252" s="43" t="s">
        <v>772</v>
      </c>
      <c r="B252" s="46" t="s">
        <v>145</v>
      </c>
      <c r="C252" s="44" t="s">
        <v>776</v>
      </c>
      <c r="D252" s="47">
        <v>8056</v>
      </c>
      <c r="E252" s="46" t="s">
        <v>782</v>
      </c>
      <c r="F252" s="35">
        <v>20000</v>
      </c>
      <c r="G252" s="40">
        <v>20000</v>
      </c>
      <c r="H252" s="35">
        <v>0</v>
      </c>
      <c r="I252" s="35">
        <f t="shared" si="44"/>
        <v>20000</v>
      </c>
      <c r="J252" s="36">
        <f t="shared" si="45"/>
        <v>0</v>
      </c>
      <c r="K252" s="48" t="s">
        <v>83</v>
      </c>
      <c r="L252" s="48" t="s">
        <v>83</v>
      </c>
      <c r="M252" s="38">
        <v>41946</v>
      </c>
      <c r="N252" s="48"/>
      <c r="O252" s="35">
        <v>20000</v>
      </c>
      <c r="P252" s="35"/>
      <c r="Q252" s="35"/>
      <c r="R252" s="35"/>
      <c r="S252" s="41"/>
    </row>
    <row r="253" spans="1:19" s="15" customFormat="1" ht="26.25" customHeight="1" x14ac:dyDescent="0.2">
      <c r="A253" s="43" t="s">
        <v>773</v>
      </c>
      <c r="B253" s="46" t="s">
        <v>44</v>
      </c>
      <c r="C253" s="44" t="s">
        <v>777</v>
      </c>
      <c r="D253" s="47">
        <v>7839</v>
      </c>
      <c r="E253" s="46" t="s">
        <v>783</v>
      </c>
      <c r="F253" s="35">
        <v>18530</v>
      </c>
      <c r="G253" s="40">
        <v>18530</v>
      </c>
      <c r="H253" s="35">
        <v>0</v>
      </c>
      <c r="I253" s="35">
        <f t="shared" si="44"/>
        <v>18530</v>
      </c>
      <c r="J253" s="36">
        <f t="shared" si="45"/>
        <v>0</v>
      </c>
      <c r="K253" s="48" t="s">
        <v>83</v>
      </c>
      <c r="L253" s="48" t="s">
        <v>83</v>
      </c>
      <c r="M253" s="38">
        <v>41668</v>
      </c>
      <c r="N253" s="48"/>
      <c r="O253" s="35">
        <v>18530</v>
      </c>
      <c r="P253" s="35"/>
      <c r="Q253" s="35"/>
      <c r="R253" s="35"/>
      <c r="S253" s="41"/>
    </row>
    <row r="254" spans="1:19" s="15" customFormat="1" ht="26.25" customHeight="1" x14ac:dyDescent="0.2">
      <c r="A254" s="43" t="s">
        <v>784</v>
      </c>
      <c r="B254" s="46" t="s">
        <v>46</v>
      </c>
      <c r="C254" s="44" t="s">
        <v>286</v>
      </c>
      <c r="D254" s="47">
        <v>7830</v>
      </c>
      <c r="E254" s="46" t="s">
        <v>798</v>
      </c>
      <c r="F254" s="35">
        <f>98800*3</f>
        <v>296400</v>
      </c>
      <c r="G254" s="40">
        <f>98800*3</f>
        <v>296400</v>
      </c>
      <c r="H254" s="35">
        <v>0</v>
      </c>
      <c r="I254" s="35">
        <f t="shared" si="44"/>
        <v>296400</v>
      </c>
      <c r="J254" s="36">
        <f t="shared" si="45"/>
        <v>0</v>
      </c>
      <c r="K254" s="48" t="s">
        <v>83</v>
      </c>
      <c r="L254" s="48" t="s">
        <v>83</v>
      </c>
      <c r="M254" s="38">
        <v>41820</v>
      </c>
      <c r="N254" s="48" t="s">
        <v>84</v>
      </c>
      <c r="O254" s="35">
        <v>98800</v>
      </c>
      <c r="P254" s="35">
        <v>98800</v>
      </c>
      <c r="Q254" s="35">
        <v>98800</v>
      </c>
      <c r="R254" s="35"/>
      <c r="S254" s="41"/>
    </row>
    <row r="255" spans="1:19" s="15" customFormat="1" ht="26.25" customHeight="1" x14ac:dyDescent="0.2">
      <c r="A255" s="43" t="s">
        <v>785</v>
      </c>
      <c r="B255" s="46" t="s">
        <v>46</v>
      </c>
      <c r="C255" s="44" t="s">
        <v>789</v>
      </c>
      <c r="D255" s="47" t="s">
        <v>792</v>
      </c>
      <c r="E255" s="46" t="s">
        <v>799</v>
      </c>
      <c r="F255" s="35">
        <f>30000*3</f>
        <v>90000</v>
      </c>
      <c r="G255" s="40">
        <v>65000</v>
      </c>
      <c r="H255" s="35">
        <f>30000*3</f>
        <v>90000</v>
      </c>
      <c r="I255" s="35">
        <f t="shared" si="44"/>
        <v>155000</v>
      </c>
      <c r="J255" s="36">
        <f t="shared" si="45"/>
        <v>1.3846153846153846</v>
      </c>
      <c r="K255" s="48" t="s">
        <v>83</v>
      </c>
      <c r="L255" s="48" t="s">
        <v>83</v>
      </c>
      <c r="M255" s="38">
        <v>41820</v>
      </c>
      <c r="N255" s="48" t="s">
        <v>84</v>
      </c>
      <c r="O255" s="35">
        <v>30000</v>
      </c>
      <c r="P255" s="35">
        <v>30000</v>
      </c>
      <c r="Q255" s="35">
        <v>30000</v>
      </c>
      <c r="R255" s="35"/>
      <c r="S255" s="41"/>
    </row>
    <row r="256" spans="1:19" s="15" customFormat="1" ht="26.25" customHeight="1" x14ac:dyDescent="0.2">
      <c r="A256" s="43" t="s">
        <v>786</v>
      </c>
      <c r="B256" s="46" t="s">
        <v>94</v>
      </c>
      <c r="C256" s="44" t="s">
        <v>790</v>
      </c>
      <c r="D256" s="47">
        <v>7926</v>
      </c>
      <c r="E256" s="46" t="s">
        <v>797</v>
      </c>
      <c r="F256" s="35">
        <f>75000+25000</f>
        <v>100000</v>
      </c>
      <c r="G256" s="40">
        <f>75000+25000</f>
        <v>100000</v>
      </c>
      <c r="H256" s="35">
        <v>0</v>
      </c>
      <c r="I256" s="35">
        <f t="shared" si="44"/>
        <v>100000</v>
      </c>
      <c r="J256" s="36">
        <f t="shared" si="45"/>
        <v>0</v>
      </c>
      <c r="K256" s="48" t="s">
        <v>83</v>
      </c>
      <c r="L256" s="48" t="s">
        <v>83</v>
      </c>
      <c r="M256" s="38">
        <v>42917</v>
      </c>
      <c r="N256" s="48" t="s">
        <v>84</v>
      </c>
      <c r="O256" s="35">
        <v>75000</v>
      </c>
      <c r="P256" s="35"/>
      <c r="Q256" s="35"/>
      <c r="R256" s="35"/>
      <c r="S256" s="41">
        <v>25000</v>
      </c>
    </row>
    <row r="257" spans="1:19" s="15" customFormat="1" ht="26.25" customHeight="1" x14ac:dyDescent="0.2">
      <c r="A257" s="43" t="s">
        <v>787</v>
      </c>
      <c r="B257" s="46" t="s">
        <v>42</v>
      </c>
      <c r="C257" s="44" t="s">
        <v>55</v>
      </c>
      <c r="D257" s="47" t="s">
        <v>793</v>
      </c>
      <c r="E257" s="46" t="s">
        <v>796</v>
      </c>
      <c r="F257" s="35">
        <v>22400</v>
      </c>
      <c r="G257" s="40">
        <v>33600</v>
      </c>
      <c r="H257" s="35">
        <f>20300+22400</f>
        <v>42700</v>
      </c>
      <c r="I257" s="35">
        <f t="shared" si="44"/>
        <v>76300</v>
      </c>
      <c r="J257" s="36">
        <f t="shared" si="45"/>
        <v>1.2708333333333333</v>
      </c>
      <c r="K257" s="48" t="s">
        <v>83</v>
      </c>
      <c r="L257" s="48" t="s">
        <v>83</v>
      </c>
      <c r="M257" s="38">
        <v>41851</v>
      </c>
      <c r="N257" s="48" t="s">
        <v>86</v>
      </c>
      <c r="O257" s="35">
        <v>22400</v>
      </c>
      <c r="P257" s="35"/>
      <c r="Q257" s="35"/>
      <c r="R257" s="35"/>
      <c r="S257" s="41"/>
    </row>
    <row r="258" spans="1:19" s="15" customFormat="1" ht="26.25" customHeight="1" x14ac:dyDescent="0.2">
      <c r="A258" s="43" t="s">
        <v>788</v>
      </c>
      <c r="B258" s="46" t="s">
        <v>46</v>
      </c>
      <c r="C258" s="44" t="s">
        <v>791</v>
      </c>
      <c r="D258" s="47" t="s">
        <v>794</v>
      </c>
      <c r="E258" s="46" t="s">
        <v>795</v>
      </c>
      <c r="F258" s="35">
        <v>20000</v>
      </c>
      <c r="G258" s="40">
        <v>30000</v>
      </c>
      <c r="H258" s="35">
        <f>30000+20000</f>
        <v>50000</v>
      </c>
      <c r="I258" s="35">
        <f t="shared" si="44"/>
        <v>80000</v>
      </c>
      <c r="J258" s="36">
        <f t="shared" si="45"/>
        <v>1.6666666666666667</v>
      </c>
      <c r="K258" s="48" t="s">
        <v>83</v>
      </c>
      <c r="L258" s="48" t="s">
        <v>83</v>
      </c>
      <c r="M258" s="38">
        <v>41820</v>
      </c>
      <c r="N258" s="48" t="s">
        <v>86</v>
      </c>
      <c r="O258" s="35">
        <v>20000</v>
      </c>
      <c r="P258" s="35"/>
      <c r="Q258" s="35"/>
      <c r="R258" s="35"/>
      <c r="S258" s="41"/>
    </row>
    <row r="259" spans="1:19" s="15" customFormat="1" ht="26.25" customHeight="1" x14ac:dyDescent="0.2">
      <c r="A259" s="43" t="s">
        <v>801</v>
      </c>
      <c r="B259" s="46" t="s">
        <v>46</v>
      </c>
      <c r="C259" s="44" t="s">
        <v>805</v>
      </c>
      <c r="D259" s="47">
        <v>7924</v>
      </c>
      <c r="E259" s="46" t="s">
        <v>808</v>
      </c>
      <c r="F259" s="35">
        <v>6000</v>
      </c>
      <c r="G259" s="40">
        <v>6000</v>
      </c>
      <c r="H259" s="35">
        <v>0</v>
      </c>
      <c r="I259" s="35">
        <f t="shared" si="44"/>
        <v>6000</v>
      </c>
      <c r="J259" s="36">
        <f t="shared" si="45"/>
        <v>0</v>
      </c>
      <c r="K259" s="48" t="s">
        <v>83</v>
      </c>
      <c r="L259" s="48" t="s">
        <v>83</v>
      </c>
      <c r="M259" s="38">
        <v>41698</v>
      </c>
      <c r="N259" s="48"/>
      <c r="O259" s="35">
        <v>6000</v>
      </c>
      <c r="P259" s="35"/>
      <c r="Q259" s="35"/>
      <c r="R259" s="35"/>
      <c r="S259" s="41"/>
    </row>
    <row r="260" spans="1:19" s="15" customFormat="1" ht="18" customHeight="1" x14ac:dyDescent="0.2">
      <c r="A260" s="43" t="s">
        <v>802</v>
      </c>
      <c r="B260" s="46" t="s">
        <v>367</v>
      </c>
      <c r="C260" s="44"/>
      <c r="D260" s="47"/>
      <c r="E260" s="46"/>
      <c r="F260" s="35"/>
      <c r="G260" s="40"/>
      <c r="H260" s="35"/>
      <c r="I260" s="35"/>
      <c r="J260" s="36"/>
      <c r="K260" s="48"/>
      <c r="L260" s="48"/>
      <c r="M260" s="38"/>
      <c r="N260" s="48"/>
      <c r="O260" s="35"/>
      <c r="P260" s="35"/>
      <c r="Q260" s="35"/>
      <c r="R260" s="35"/>
      <c r="S260" s="41"/>
    </row>
    <row r="261" spans="1:19" s="15" customFormat="1" ht="18" customHeight="1" x14ac:dyDescent="0.2">
      <c r="A261" s="43" t="s">
        <v>803</v>
      </c>
      <c r="B261" s="46" t="s">
        <v>44</v>
      </c>
      <c r="C261" s="44" t="s">
        <v>806</v>
      </c>
      <c r="D261" s="47">
        <v>7980</v>
      </c>
      <c r="E261" s="46" t="s">
        <v>809</v>
      </c>
      <c r="F261" s="35">
        <f>7000+7000</f>
        <v>14000</v>
      </c>
      <c r="G261" s="40">
        <v>7000</v>
      </c>
      <c r="H261" s="35">
        <f>7000+7000</f>
        <v>14000</v>
      </c>
      <c r="I261" s="35">
        <f t="shared" si="44"/>
        <v>21000</v>
      </c>
      <c r="J261" s="36">
        <f t="shared" si="45"/>
        <v>2</v>
      </c>
      <c r="K261" s="48" t="s">
        <v>83</v>
      </c>
      <c r="L261" s="48" t="s">
        <v>83</v>
      </c>
      <c r="M261" s="38">
        <v>41820</v>
      </c>
      <c r="N261" s="48" t="s">
        <v>84</v>
      </c>
      <c r="O261" s="35">
        <v>7000</v>
      </c>
      <c r="P261" s="35">
        <v>7000</v>
      </c>
      <c r="Q261" s="35"/>
      <c r="R261" s="35"/>
      <c r="S261" s="41"/>
    </row>
    <row r="262" spans="1:19" s="15" customFormat="1" ht="26.25" customHeight="1" x14ac:dyDescent="0.2">
      <c r="A262" s="43" t="s">
        <v>804</v>
      </c>
      <c r="B262" s="46" t="s">
        <v>46</v>
      </c>
      <c r="C262" s="44" t="s">
        <v>807</v>
      </c>
      <c r="D262" s="47">
        <v>7966</v>
      </c>
      <c r="E262" s="46" t="s">
        <v>810</v>
      </c>
      <c r="F262" s="35">
        <f>16220*3</f>
        <v>48660</v>
      </c>
      <c r="G262" s="40">
        <f>16220*3</f>
        <v>48660</v>
      </c>
      <c r="H262" s="35">
        <v>0</v>
      </c>
      <c r="I262" s="35">
        <f t="shared" si="44"/>
        <v>48660</v>
      </c>
      <c r="J262" s="36">
        <f t="shared" si="45"/>
        <v>0</v>
      </c>
      <c r="K262" s="48" t="s">
        <v>83</v>
      </c>
      <c r="L262" s="48" t="s">
        <v>85</v>
      </c>
      <c r="M262" s="38">
        <v>41820</v>
      </c>
      <c r="N262" s="48" t="s">
        <v>84</v>
      </c>
      <c r="O262" s="35">
        <v>16220</v>
      </c>
      <c r="P262" s="35">
        <v>16220</v>
      </c>
      <c r="Q262" s="35">
        <v>16220</v>
      </c>
      <c r="R262" s="35"/>
      <c r="S262" s="41"/>
    </row>
    <row r="263" spans="1:19" s="15" customFormat="1" ht="26.25" customHeight="1" x14ac:dyDescent="0.2">
      <c r="A263" s="43" t="s">
        <v>811</v>
      </c>
      <c r="B263" s="46" t="s">
        <v>46</v>
      </c>
      <c r="C263" s="44" t="s">
        <v>817</v>
      </c>
      <c r="D263" s="47">
        <v>7937</v>
      </c>
      <c r="E263" s="46" t="s">
        <v>827</v>
      </c>
      <c r="F263" s="35">
        <f>20000*3</f>
        <v>60000</v>
      </c>
      <c r="G263" s="40">
        <f>20000*3</f>
        <v>60000</v>
      </c>
      <c r="H263" s="35">
        <v>0</v>
      </c>
      <c r="I263" s="35">
        <f t="shared" ref="I263:I270" si="46">G263+H263</f>
        <v>60000</v>
      </c>
      <c r="J263" s="36">
        <f t="shared" ref="J263:J270" si="47">IF(G263=0,100%,(I263-G263)/G263)</f>
        <v>0</v>
      </c>
      <c r="K263" s="48" t="s">
        <v>83</v>
      </c>
      <c r="L263" s="48" t="s">
        <v>83</v>
      </c>
      <c r="M263" s="38">
        <v>42019</v>
      </c>
      <c r="N263" s="48" t="s">
        <v>84</v>
      </c>
      <c r="O263" s="35">
        <v>20000</v>
      </c>
      <c r="P263" s="35">
        <v>20000</v>
      </c>
      <c r="Q263" s="35">
        <v>20000</v>
      </c>
      <c r="R263" s="35"/>
      <c r="S263" s="41"/>
    </row>
    <row r="264" spans="1:19" s="15" customFormat="1" ht="26.25" customHeight="1" x14ac:dyDescent="0.2">
      <c r="A264" s="43" t="s">
        <v>812</v>
      </c>
      <c r="B264" s="46" t="s">
        <v>315</v>
      </c>
      <c r="C264" s="44" t="s">
        <v>818</v>
      </c>
      <c r="D264" s="47" t="s">
        <v>822</v>
      </c>
      <c r="E264" s="46" t="s">
        <v>823</v>
      </c>
      <c r="F264" s="35">
        <v>15000</v>
      </c>
      <c r="G264" s="40">
        <v>15000</v>
      </c>
      <c r="H264" s="35">
        <v>0</v>
      </c>
      <c r="I264" s="35">
        <f t="shared" si="46"/>
        <v>15000</v>
      </c>
      <c r="J264" s="36">
        <f t="shared" si="47"/>
        <v>0</v>
      </c>
      <c r="K264" s="48" t="s">
        <v>83</v>
      </c>
      <c r="L264" s="48" t="s">
        <v>83</v>
      </c>
      <c r="M264" s="38">
        <v>42185</v>
      </c>
      <c r="N264" s="48"/>
      <c r="O264" s="35">
        <v>15000</v>
      </c>
      <c r="P264" s="35"/>
      <c r="Q264" s="35"/>
      <c r="R264" s="35"/>
      <c r="S264" s="41"/>
    </row>
    <row r="265" spans="1:19" s="15" customFormat="1" ht="18" customHeight="1" x14ac:dyDescent="0.2">
      <c r="A265" s="43" t="s">
        <v>813</v>
      </c>
      <c r="B265" s="46" t="s">
        <v>46</v>
      </c>
      <c r="C265" s="44" t="s">
        <v>819</v>
      </c>
      <c r="D265" s="47">
        <v>8024</v>
      </c>
      <c r="E265" s="46" t="s">
        <v>824</v>
      </c>
      <c r="F265" s="35">
        <v>6874</v>
      </c>
      <c r="G265" s="40">
        <v>6874</v>
      </c>
      <c r="H265" s="35">
        <v>0</v>
      </c>
      <c r="I265" s="35">
        <f t="shared" si="46"/>
        <v>6874</v>
      </c>
      <c r="J265" s="36">
        <f t="shared" si="47"/>
        <v>0</v>
      </c>
      <c r="K265" s="48" t="s">
        <v>83</v>
      </c>
      <c r="L265" s="48" t="s">
        <v>83</v>
      </c>
      <c r="M265" s="38">
        <v>42794</v>
      </c>
      <c r="N265" s="48"/>
      <c r="O265" s="35">
        <v>6874</v>
      </c>
      <c r="P265" s="35"/>
      <c r="Q265" s="35"/>
      <c r="R265" s="35"/>
      <c r="S265" s="41"/>
    </row>
    <row r="266" spans="1:19" s="15" customFormat="1" ht="26.25" customHeight="1" x14ac:dyDescent="0.2">
      <c r="A266" s="43" t="s">
        <v>814</v>
      </c>
      <c r="B266" s="46" t="s">
        <v>159</v>
      </c>
      <c r="C266" s="44" t="s">
        <v>820</v>
      </c>
      <c r="D266" s="47">
        <v>8053</v>
      </c>
      <c r="E266" s="46" t="s">
        <v>825</v>
      </c>
      <c r="F266" s="35">
        <v>29730</v>
      </c>
      <c r="G266" s="40">
        <v>29730</v>
      </c>
      <c r="H266" s="35">
        <v>0</v>
      </c>
      <c r="I266" s="35">
        <f t="shared" si="46"/>
        <v>29730</v>
      </c>
      <c r="J266" s="36">
        <f t="shared" si="47"/>
        <v>0</v>
      </c>
      <c r="K266" s="48" t="s">
        <v>83</v>
      </c>
      <c r="L266" s="48" t="s">
        <v>83</v>
      </c>
      <c r="M266" s="38">
        <v>41820</v>
      </c>
      <c r="N266" s="48"/>
      <c r="O266" s="35">
        <v>29730</v>
      </c>
      <c r="P266" s="35"/>
      <c r="Q266" s="35"/>
      <c r="R266" s="35"/>
      <c r="S266" s="41"/>
    </row>
    <row r="267" spans="1:19" s="15" customFormat="1" ht="26.25" customHeight="1" x14ac:dyDescent="0.2">
      <c r="A267" s="43" t="s">
        <v>815</v>
      </c>
      <c r="B267" s="46" t="s">
        <v>816</v>
      </c>
      <c r="C267" s="44" t="s">
        <v>821</v>
      </c>
      <c r="D267" s="47">
        <v>8057</v>
      </c>
      <c r="E267" s="46" t="s">
        <v>826</v>
      </c>
      <c r="F267" s="35">
        <v>11900</v>
      </c>
      <c r="G267" s="40">
        <v>11900</v>
      </c>
      <c r="H267" s="35">
        <v>0</v>
      </c>
      <c r="I267" s="35">
        <f t="shared" si="46"/>
        <v>11900</v>
      </c>
      <c r="J267" s="36">
        <f t="shared" si="47"/>
        <v>0</v>
      </c>
      <c r="K267" s="48" t="s">
        <v>83</v>
      </c>
      <c r="L267" s="48" t="s">
        <v>83</v>
      </c>
      <c r="M267" s="38">
        <v>41727</v>
      </c>
      <c r="N267" s="48"/>
      <c r="O267" s="35">
        <v>11900</v>
      </c>
      <c r="P267" s="35"/>
      <c r="Q267" s="35"/>
      <c r="R267" s="35"/>
      <c r="S267" s="41"/>
    </row>
    <row r="268" spans="1:19" s="15" customFormat="1" ht="26.25" customHeight="1" x14ac:dyDescent="0.2">
      <c r="A268" s="43" t="s">
        <v>828</v>
      </c>
      <c r="B268" s="46" t="s">
        <v>94</v>
      </c>
      <c r="C268" s="44" t="s">
        <v>830</v>
      </c>
      <c r="D268" s="47">
        <v>8042</v>
      </c>
      <c r="E268" s="46" t="s">
        <v>832</v>
      </c>
      <c r="F268" s="35">
        <f>99000*3</f>
        <v>297000</v>
      </c>
      <c r="G268" s="40">
        <f>99000*3</f>
        <v>297000</v>
      </c>
      <c r="H268" s="35">
        <v>0</v>
      </c>
      <c r="I268" s="35">
        <f t="shared" si="46"/>
        <v>297000</v>
      </c>
      <c r="J268" s="36">
        <f t="shared" si="47"/>
        <v>0</v>
      </c>
      <c r="K268" s="48" t="s">
        <v>83</v>
      </c>
      <c r="L268" s="48" t="s">
        <v>83</v>
      </c>
      <c r="M268" s="38">
        <v>41820</v>
      </c>
      <c r="N268" s="48" t="s">
        <v>84</v>
      </c>
      <c r="O268" s="35">
        <v>99000</v>
      </c>
      <c r="P268" s="35">
        <v>99000</v>
      </c>
      <c r="Q268" s="35">
        <v>99000</v>
      </c>
      <c r="R268" s="35"/>
      <c r="S268" s="41"/>
    </row>
    <row r="269" spans="1:19" s="15" customFormat="1" ht="26.25" customHeight="1" x14ac:dyDescent="0.2">
      <c r="A269" s="43" t="s">
        <v>829</v>
      </c>
      <c r="B269" s="46" t="s">
        <v>159</v>
      </c>
      <c r="C269" s="44" t="s">
        <v>831</v>
      </c>
      <c r="D269" s="47">
        <v>8099</v>
      </c>
      <c r="E269" s="46" t="s">
        <v>833</v>
      </c>
      <c r="F269" s="35">
        <v>82154</v>
      </c>
      <c r="G269" s="40">
        <v>82154</v>
      </c>
      <c r="H269" s="35">
        <v>0</v>
      </c>
      <c r="I269" s="35">
        <f t="shared" si="46"/>
        <v>82154</v>
      </c>
      <c r="J269" s="36">
        <f t="shared" si="47"/>
        <v>0</v>
      </c>
      <c r="K269" s="48" t="s">
        <v>83</v>
      </c>
      <c r="L269" s="48" t="s">
        <v>83</v>
      </c>
      <c r="M269" s="38">
        <v>41820</v>
      </c>
      <c r="N269" s="48"/>
      <c r="O269" s="35">
        <v>82154</v>
      </c>
      <c r="P269" s="35"/>
      <c r="Q269" s="35"/>
      <c r="R269" s="35"/>
      <c r="S269" s="41"/>
    </row>
    <row r="270" spans="1:19" s="15" customFormat="1" ht="26.25" customHeight="1" x14ac:dyDescent="0.2">
      <c r="A270" s="43" t="s">
        <v>834</v>
      </c>
      <c r="B270" s="46" t="s">
        <v>41</v>
      </c>
      <c r="C270" s="44" t="s">
        <v>54</v>
      </c>
      <c r="D270" s="47">
        <v>8049</v>
      </c>
      <c r="E270" s="46" t="s">
        <v>854</v>
      </c>
      <c r="F270" s="35">
        <v>18529</v>
      </c>
      <c r="G270" s="40">
        <v>18529</v>
      </c>
      <c r="H270" s="35">
        <v>0</v>
      </c>
      <c r="I270" s="35">
        <f t="shared" si="46"/>
        <v>18529</v>
      </c>
      <c r="J270" s="36">
        <f t="shared" si="47"/>
        <v>0</v>
      </c>
      <c r="K270" s="48" t="s">
        <v>83</v>
      </c>
      <c r="L270" s="48" t="s">
        <v>85</v>
      </c>
      <c r="M270" s="38">
        <v>41820</v>
      </c>
      <c r="N270" s="48"/>
      <c r="O270" s="35">
        <v>18529</v>
      </c>
      <c r="P270" s="35"/>
      <c r="Q270" s="35"/>
      <c r="R270" s="35"/>
      <c r="S270" s="41"/>
    </row>
    <row r="271" spans="1:19" s="15" customFormat="1" ht="26.25" customHeight="1" x14ac:dyDescent="0.2">
      <c r="A271" s="43" t="s">
        <v>835</v>
      </c>
      <c r="B271" s="46" t="s">
        <v>41</v>
      </c>
      <c r="C271" s="44" t="s">
        <v>254</v>
      </c>
      <c r="D271" s="47">
        <v>8050</v>
      </c>
      <c r="E271" s="46" t="s">
        <v>855</v>
      </c>
      <c r="F271" s="35">
        <v>11516</v>
      </c>
      <c r="G271" s="40">
        <v>11516</v>
      </c>
      <c r="H271" s="35">
        <v>0</v>
      </c>
      <c r="I271" s="35">
        <f t="shared" ref="I271:I280" si="48">G271+H271</f>
        <v>11516</v>
      </c>
      <c r="J271" s="36">
        <f t="shared" ref="J271:J280" si="49">IF(G271=0,100%,(I271-G271)/G271)</f>
        <v>0</v>
      </c>
      <c r="K271" s="48" t="s">
        <v>83</v>
      </c>
      <c r="L271" s="48" t="s">
        <v>85</v>
      </c>
      <c r="M271" s="38">
        <v>41820</v>
      </c>
      <c r="N271" s="48"/>
      <c r="O271" s="35">
        <v>11516</v>
      </c>
      <c r="P271" s="35"/>
      <c r="Q271" s="35"/>
      <c r="R271" s="35"/>
      <c r="S271" s="41"/>
    </row>
    <row r="272" spans="1:19" s="15" customFormat="1" ht="26.25" customHeight="1" x14ac:dyDescent="0.2">
      <c r="A272" s="43" t="s">
        <v>836</v>
      </c>
      <c r="B272" s="46" t="s">
        <v>39</v>
      </c>
      <c r="C272" s="44" t="s">
        <v>845</v>
      </c>
      <c r="D272" s="47">
        <v>8077</v>
      </c>
      <c r="E272" s="46" t="s">
        <v>856</v>
      </c>
      <c r="F272" s="35">
        <f>8500*3</f>
        <v>25500</v>
      </c>
      <c r="G272" s="40">
        <f>8500*3</f>
        <v>25500</v>
      </c>
      <c r="H272" s="35">
        <v>0</v>
      </c>
      <c r="I272" s="35">
        <f t="shared" si="48"/>
        <v>25500</v>
      </c>
      <c r="J272" s="36">
        <f t="shared" si="49"/>
        <v>0</v>
      </c>
      <c r="K272" s="48" t="s">
        <v>83</v>
      </c>
      <c r="L272" s="48" t="s">
        <v>85</v>
      </c>
      <c r="M272" s="38">
        <v>41820</v>
      </c>
      <c r="N272" s="48" t="s">
        <v>84</v>
      </c>
      <c r="O272" s="35">
        <v>8500</v>
      </c>
      <c r="P272" s="35">
        <v>8500</v>
      </c>
      <c r="Q272" s="35">
        <v>8500</v>
      </c>
      <c r="R272" s="35"/>
      <c r="S272" s="41"/>
    </row>
    <row r="273" spans="1:19" s="15" customFormat="1" ht="26.25" customHeight="1" x14ac:dyDescent="0.2">
      <c r="A273" s="43" t="s">
        <v>837</v>
      </c>
      <c r="B273" s="46" t="s">
        <v>39</v>
      </c>
      <c r="C273" s="44" t="s">
        <v>846</v>
      </c>
      <c r="D273" s="47">
        <v>8081</v>
      </c>
      <c r="E273" s="46" t="s">
        <v>856</v>
      </c>
      <c r="F273" s="35">
        <f>8500*3</f>
        <v>25500</v>
      </c>
      <c r="G273" s="40">
        <f>8500*3</f>
        <v>25500</v>
      </c>
      <c r="H273" s="35">
        <v>0</v>
      </c>
      <c r="I273" s="35">
        <f t="shared" si="48"/>
        <v>25500</v>
      </c>
      <c r="J273" s="36">
        <f t="shared" si="49"/>
        <v>0</v>
      </c>
      <c r="K273" s="48" t="s">
        <v>83</v>
      </c>
      <c r="L273" s="48" t="s">
        <v>85</v>
      </c>
      <c r="M273" s="38">
        <v>41820</v>
      </c>
      <c r="N273" s="48" t="s">
        <v>84</v>
      </c>
      <c r="O273" s="35">
        <v>8500</v>
      </c>
      <c r="P273" s="35">
        <v>8500</v>
      </c>
      <c r="Q273" s="35">
        <v>8500</v>
      </c>
      <c r="R273" s="35"/>
      <c r="S273" s="41"/>
    </row>
    <row r="274" spans="1:19" s="15" customFormat="1" ht="38.25" customHeight="1" x14ac:dyDescent="0.2">
      <c r="A274" s="43" t="s">
        <v>838</v>
      </c>
      <c r="B274" s="46" t="s">
        <v>557</v>
      </c>
      <c r="C274" s="44" t="s">
        <v>847</v>
      </c>
      <c r="D274" s="47">
        <v>8084</v>
      </c>
      <c r="E274" s="46" t="s">
        <v>857</v>
      </c>
      <c r="F274" s="35">
        <f>48750*3</f>
        <v>146250</v>
      </c>
      <c r="G274" s="40">
        <f>48750*3</f>
        <v>146250</v>
      </c>
      <c r="H274" s="35">
        <v>0</v>
      </c>
      <c r="I274" s="35">
        <f t="shared" si="48"/>
        <v>146250</v>
      </c>
      <c r="J274" s="36">
        <f t="shared" si="49"/>
        <v>0</v>
      </c>
      <c r="K274" s="48" t="s">
        <v>83</v>
      </c>
      <c r="L274" s="48" t="s">
        <v>83</v>
      </c>
      <c r="M274" s="38">
        <v>42094</v>
      </c>
      <c r="N274" s="48" t="s">
        <v>84</v>
      </c>
      <c r="O274" s="35">
        <v>48750</v>
      </c>
      <c r="P274" s="35">
        <v>48750</v>
      </c>
      <c r="Q274" s="35">
        <v>48750</v>
      </c>
      <c r="R274" s="35"/>
      <c r="S274" s="41"/>
    </row>
    <row r="275" spans="1:19" s="15" customFormat="1" ht="26.25" customHeight="1" x14ac:dyDescent="0.2">
      <c r="A275" s="43" t="s">
        <v>839</v>
      </c>
      <c r="B275" s="46" t="s">
        <v>94</v>
      </c>
      <c r="C275" s="44" t="s">
        <v>848</v>
      </c>
      <c r="D275" s="47">
        <v>8085</v>
      </c>
      <c r="E275" s="46" t="s">
        <v>858</v>
      </c>
      <c r="F275" s="35">
        <f>10000*3</f>
        <v>30000</v>
      </c>
      <c r="G275" s="40">
        <f>10000*3</f>
        <v>30000</v>
      </c>
      <c r="H275" s="35">
        <v>0</v>
      </c>
      <c r="I275" s="35">
        <f t="shared" si="48"/>
        <v>30000</v>
      </c>
      <c r="J275" s="36">
        <f t="shared" si="49"/>
        <v>0</v>
      </c>
      <c r="K275" s="48" t="s">
        <v>83</v>
      </c>
      <c r="L275" s="48" t="s">
        <v>85</v>
      </c>
      <c r="M275" s="38">
        <v>42063</v>
      </c>
      <c r="N275" s="48" t="s">
        <v>84</v>
      </c>
      <c r="O275" s="35">
        <v>10000</v>
      </c>
      <c r="P275" s="35">
        <v>10000</v>
      </c>
      <c r="Q275" s="35">
        <v>10000</v>
      </c>
      <c r="R275" s="35"/>
      <c r="S275" s="41"/>
    </row>
    <row r="276" spans="1:19" s="15" customFormat="1" ht="26.25" customHeight="1" x14ac:dyDescent="0.2">
      <c r="A276" s="43" t="s">
        <v>840</v>
      </c>
      <c r="B276" s="46" t="s">
        <v>39</v>
      </c>
      <c r="C276" s="44" t="s">
        <v>849</v>
      </c>
      <c r="D276" s="47">
        <v>8086</v>
      </c>
      <c r="E276" s="46" t="s">
        <v>859</v>
      </c>
      <c r="F276" s="35">
        <v>10000</v>
      </c>
      <c r="G276" s="40">
        <v>10000</v>
      </c>
      <c r="H276" s="35">
        <v>0</v>
      </c>
      <c r="I276" s="35">
        <f t="shared" si="48"/>
        <v>10000</v>
      </c>
      <c r="J276" s="36">
        <f t="shared" si="49"/>
        <v>0</v>
      </c>
      <c r="K276" s="48" t="s">
        <v>83</v>
      </c>
      <c r="L276" s="48" t="s">
        <v>83</v>
      </c>
      <c r="M276" s="38">
        <v>41756</v>
      </c>
      <c r="N276" s="48"/>
      <c r="O276" s="35">
        <v>10000</v>
      </c>
      <c r="P276" s="35"/>
      <c r="Q276" s="35"/>
      <c r="R276" s="35"/>
      <c r="S276" s="41"/>
    </row>
    <row r="277" spans="1:19" s="15" customFormat="1" ht="26.25" customHeight="1" x14ac:dyDescent="0.2">
      <c r="A277" s="43" t="s">
        <v>841</v>
      </c>
      <c r="B277" s="46" t="s">
        <v>41</v>
      </c>
      <c r="C277" s="44" t="s">
        <v>662</v>
      </c>
      <c r="D277" s="47" t="s">
        <v>853</v>
      </c>
      <c r="E277" s="46" t="s">
        <v>664</v>
      </c>
      <c r="F277" s="35">
        <v>12000</v>
      </c>
      <c r="G277" s="40">
        <v>7500</v>
      </c>
      <c r="H277" s="35">
        <v>12000</v>
      </c>
      <c r="I277" s="35">
        <f t="shared" si="48"/>
        <v>19500</v>
      </c>
      <c r="J277" s="36">
        <f t="shared" si="49"/>
        <v>1.6</v>
      </c>
      <c r="K277" s="48" t="s">
        <v>83</v>
      </c>
      <c r="L277" s="48" t="s">
        <v>83</v>
      </c>
      <c r="M277" s="38">
        <v>41820</v>
      </c>
      <c r="N277" s="48" t="s">
        <v>86</v>
      </c>
      <c r="O277" s="35">
        <v>12000</v>
      </c>
      <c r="P277" s="35"/>
      <c r="Q277" s="35"/>
      <c r="R277" s="35"/>
      <c r="S277" s="41"/>
    </row>
    <row r="278" spans="1:19" s="15" customFormat="1" ht="26.25" customHeight="1" x14ac:dyDescent="0.2">
      <c r="A278" s="43" t="s">
        <v>842</v>
      </c>
      <c r="B278" s="46" t="s">
        <v>94</v>
      </c>
      <c r="C278" s="44" t="s">
        <v>850</v>
      </c>
      <c r="D278" s="47">
        <v>8131</v>
      </c>
      <c r="E278" s="46" t="s">
        <v>860</v>
      </c>
      <c r="F278" s="35">
        <f>8267*3</f>
        <v>24801</v>
      </c>
      <c r="G278" s="40">
        <f>8267*3</f>
        <v>24801</v>
      </c>
      <c r="H278" s="35">
        <v>0</v>
      </c>
      <c r="I278" s="35">
        <f t="shared" si="48"/>
        <v>24801</v>
      </c>
      <c r="J278" s="36">
        <f t="shared" si="49"/>
        <v>0</v>
      </c>
      <c r="K278" s="48" t="s">
        <v>83</v>
      </c>
      <c r="L278" s="48" t="s">
        <v>83</v>
      </c>
      <c r="M278" s="38">
        <v>42094</v>
      </c>
      <c r="N278" s="48" t="s">
        <v>84</v>
      </c>
      <c r="O278" s="35">
        <v>8267</v>
      </c>
      <c r="P278" s="35">
        <v>8267</v>
      </c>
      <c r="Q278" s="35">
        <v>8267</v>
      </c>
      <c r="R278" s="35"/>
      <c r="S278" s="41"/>
    </row>
    <row r="279" spans="1:19" s="15" customFormat="1" ht="26.25" customHeight="1" x14ac:dyDescent="0.2">
      <c r="A279" s="43" t="s">
        <v>843</v>
      </c>
      <c r="B279" s="46" t="s">
        <v>940</v>
      </c>
      <c r="C279" s="44" t="s">
        <v>851</v>
      </c>
      <c r="D279" s="47">
        <v>8132</v>
      </c>
      <c r="E279" s="46" t="s">
        <v>861</v>
      </c>
      <c r="F279" s="35">
        <f>11065+11500+12000</f>
        <v>34565</v>
      </c>
      <c r="G279" s="35">
        <f>11065+11500+12000</f>
        <v>34565</v>
      </c>
      <c r="H279" s="35">
        <v>0</v>
      </c>
      <c r="I279" s="35">
        <f t="shared" si="48"/>
        <v>34565</v>
      </c>
      <c r="J279" s="36">
        <f t="shared" si="49"/>
        <v>0</v>
      </c>
      <c r="K279" s="48" t="s">
        <v>83</v>
      </c>
      <c r="L279" s="48" t="s">
        <v>83</v>
      </c>
      <c r="M279" s="38">
        <v>42110</v>
      </c>
      <c r="N279" s="48" t="s">
        <v>84</v>
      </c>
      <c r="O279" s="35">
        <v>11065</v>
      </c>
      <c r="P279" s="35">
        <v>11500</v>
      </c>
      <c r="Q279" s="35">
        <v>12000</v>
      </c>
      <c r="R279" s="35"/>
      <c r="S279" s="41"/>
    </row>
    <row r="280" spans="1:19" s="15" customFormat="1" ht="26.25" customHeight="1" x14ac:dyDescent="0.2">
      <c r="A280" s="43" t="s">
        <v>844</v>
      </c>
      <c r="B280" s="46" t="s">
        <v>940</v>
      </c>
      <c r="C280" s="44" t="s">
        <v>852</v>
      </c>
      <c r="D280" s="47">
        <v>8135</v>
      </c>
      <c r="E280" s="46" t="s">
        <v>862</v>
      </c>
      <c r="F280" s="35">
        <f>22340+4500+5000</f>
        <v>31840</v>
      </c>
      <c r="G280" s="35">
        <f>22340+4500+5000</f>
        <v>31840</v>
      </c>
      <c r="H280" s="35">
        <v>0</v>
      </c>
      <c r="I280" s="35">
        <f t="shared" si="48"/>
        <v>31840</v>
      </c>
      <c r="J280" s="36">
        <f t="shared" si="49"/>
        <v>0</v>
      </c>
      <c r="K280" s="48" t="s">
        <v>83</v>
      </c>
      <c r="L280" s="48" t="s">
        <v>83</v>
      </c>
      <c r="M280" s="38">
        <v>42094</v>
      </c>
      <c r="N280" s="48" t="s">
        <v>84</v>
      </c>
      <c r="O280" s="35">
        <v>22340</v>
      </c>
      <c r="P280" s="35">
        <v>4500</v>
      </c>
      <c r="Q280" s="35">
        <v>5000</v>
      </c>
      <c r="R280" s="35"/>
      <c r="S280" s="41"/>
    </row>
    <row r="281" spans="1:19" s="15" customFormat="1" ht="26.25" customHeight="1" x14ac:dyDescent="0.2">
      <c r="A281" s="43" t="s">
        <v>864</v>
      </c>
      <c r="B281" s="46" t="s">
        <v>42</v>
      </c>
      <c r="C281" s="44" t="s">
        <v>127</v>
      </c>
      <c r="D281" s="47">
        <v>7964</v>
      </c>
      <c r="E281" s="46" t="s">
        <v>870</v>
      </c>
      <c r="F281" s="35">
        <v>96000</v>
      </c>
      <c r="G281" s="35">
        <v>96000</v>
      </c>
      <c r="H281" s="35">
        <v>0</v>
      </c>
      <c r="I281" s="35">
        <f t="shared" ref="I281:I286" si="50">G281+H281</f>
        <v>96000</v>
      </c>
      <c r="J281" s="36">
        <f t="shared" ref="J281:J286" si="51">IF(G281=0,100%,(I281-G281)/G281)</f>
        <v>0</v>
      </c>
      <c r="K281" s="48" t="s">
        <v>83</v>
      </c>
      <c r="L281" s="48" t="s">
        <v>83</v>
      </c>
      <c r="M281" s="38">
        <v>42004</v>
      </c>
      <c r="N281" s="48"/>
      <c r="O281" s="35">
        <v>96000</v>
      </c>
      <c r="P281" s="35"/>
      <c r="Q281" s="35"/>
      <c r="R281" s="35"/>
      <c r="S281" s="41"/>
    </row>
    <row r="282" spans="1:19" s="15" customFormat="1" ht="26.25" customHeight="1" x14ac:dyDescent="0.2">
      <c r="A282" s="43" t="s">
        <v>865</v>
      </c>
      <c r="B282" s="46" t="s">
        <v>40</v>
      </c>
      <c r="C282" s="44" t="s">
        <v>53</v>
      </c>
      <c r="D282" s="47" t="s">
        <v>879</v>
      </c>
      <c r="E282" s="46" t="s">
        <v>871</v>
      </c>
      <c r="F282" s="35">
        <v>20000</v>
      </c>
      <c r="G282" s="35">
        <v>20000</v>
      </c>
      <c r="H282" s="35">
        <f>20000+20000+20000+20000</f>
        <v>80000</v>
      </c>
      <c r="I282" s="35">
        <f t="shared" si="50"/>
        <v>100000</v>
      </c>
      <c r="J282" s="36">
        <f t="shared" si="51"/>
        <v>4</v>
      </c>
      <c r="K282" s="48" t="s">
        <v>83</v>
      </c>
      <c r="L282" s="48" t="s">
        <v>83</v>
      </c>
      <c r="M282" s="38">
        <v>41820</v>
      </c>
      <c r="N282" s="48" t="s">
        <v>86</v>
      </c>
      <c r="O282" s="35">
        <v>20000</v>
      </c>
      <c r="P282" s="35"/>
      <c r="Q282" s="35"/>
      <c r="R282" s="35"/>
      <c r="S282" s="41"/>
    </row>
    <row r="283" spans="1:19" s="15" customFormat="1" ht="26.25" customHeight="1" x14ac:dyDescent="0.2">
      <c r="A283" s="43" t="s">
        <v>866</v>
      </c>
      <c r="B283" s="46" t="s">
        <v>875</v>
      </c>
      <c r="C283" s="44" t="s">
        <v>876</v>
      </c>
      <c r="D283" s="47" t="s">
        <v>880</v>
      </c>
      <c r="E283" s="46" t="s">
        <v>872</v>
      </c>
      <c r="F283" s="35">
        <f>25000+25000</f>
        <v>50000</v>
      </c>
      <c r="G283" s="35">
        <v>45000</v>
      </c>
      <c r="H283" s="35">
        <f>25000+25000</f>
        <v>50000</v>
      </c>
      <c r="I283" s="35">
        <f t="shared" si="50"/>
        <v>95000</v>
      </c>
      <c r="J283" s="36">
        <f t="shared" si="51"/>
        <v>1.1111111111111112</v>
      </c>
      <c r="K283" s="48" t="s">
        <v>83</v>
      </c>
      <c r="L283" s="48" t="s">
        <v>83</v>
      </c>
      <c r="M283" s="38">
        <v>41820</v>
      </c>
      <c r="N283" s="48" t="s">
        <v>86</v>
      </c>
      <c r="O283" s="35">
        <v>25000</v>
      </c>
      <c r="P283" s="35">
        <v>25000</v>
      </c>
      <c r="Q283" s="35"/>
      <c r="R283" s="35"/>
      <c r="S283" s="41"/>
    </row>
    <row r="284" spans="1:19" s="15" customFormat="1" ht="26.25" customHeight="1" x14ac:dyDescent="0.2">
      <c r="A284" s="43" t="s">
        <v>867</v>
      </c>
      <c r="B284" s="46" t="s">
        <v>39</v>
      </c>
      <c r="C284" s="44" t="s">
        <v>877</v>
      </c>
      <c r="D284" s="47">
        <v>8138</v>
      </c>
      <c r="E284" s="46" t="s">
        <v>873</v>
      </c>
      <c r="F284" s="35">
        <v>77000</v>
      </c>
      <c r="G284" s="35">
        <v>77000</v>
      </c>
      <c r="H284" s="35">
        <v>0</v>
      </c>
      <c r="I284" s="35">
        <f t="shared" si="50"/>
        <v>77000</v>
      </c>
      <c r="J284" s="36">
        <f t="shared" si="51"/>
        <v>0</v>
      </c>
      <c r="K284" s="48" t="s">
        <v>83</v>
      </c>
      <c r="L284" s="48" t="s">
        <v>83</v>
      </c>
      <c r="M284" s="38">
        <v>42004</v>
      </c>
      <c r="N284" s="48"/>
      <c r="O284" s="35">
        <v>77000</v>
      </c>
      <c r="P284" s="35"/>
      <c r="Q284" s="35"/>
      <c r="R284" s="35"/>
      <c r="S284" s="41"/>
    </row>
    <row r="285" spans="1:19" s="15" customFormat="1" ht="26.25" customHeight="1" x14ac:dyDescent="0.2">
      <c r="A285" s="43" t="s">
        <v>868</v>
      </c>
      <c r="B285" s="46" t="s">
        <v>315</v>
      </c>
      <c r="C285" s="44" t="s">
        <v>878</v>
      </c>
      <c r="D285" s="47" t="s">
        <v>881</v>
      </c>
      <c r="E285" s="46" t="s">
        <v>874</v>
      </c>
      <c r="F285" s="35">
        <v>50000</v>
      </c>
      <c r="G285" s="35">
        <v>10000</v>
      </c>
      <c r="H285" s="35">
        <f>10000+50000</f>
        <v>60000</v>
      </c>
      <c r="I285" s="35">
        <f t="shared" si="50"/>
        <v>70000</v>
      </c>
      <c r="J285" s="36">
        <f t="shared" si="51"/>
        <v>6</v>
      </c>
      <c r="K285" s="48" t="s">
        <v>83</v>
      </c>
      <c r="L285" s="48" t="s">
        <v>83</v>
      </c>
      <c r="M285" s="52" t="s">
        <v>331</v>
      </c>
      <c r="N285" s="48" t="s">
        <v>86</v>
      </c>
      <c r="O285" s="35">
        <v>50000</v>
      </c>
      <c r="P285" s="35"/>
      <c r="Q285" s="35"/>
      <c r="R285" s="35"/>
      <c r="S285" s="41"/>
    </row>
    <row r="286" spans="1:19" s="15" customFormat="1" ht="26.25" customHeight="1" x14ac:dyDescent="0.2">
      <c r="A286" s="43" t="s">
        <v>869</v>
      </c>
      <c r="B286" s="46" t="s">
        <v>315</v>
      </c>
      <c r="C286" s="44" t="s">
        <v>613</v>
      </c>
      <c r="D286" s="47" t="s">
        <v>882</v>
      </c>
      <c r="E286" s="46" t="s">
        <v>602</v>
      </c>
      <c r="F286" s="35">
        <v>25000</v>
      </c>
      <c r="G286" s="35">
        <v>5000</v>
      </c>
      <c r="H286" s="35">
        <f>374381+65000+25000</f>
        <v>464381</v>
      </c>
      <c r="I286" s="35">
        <f t="shared" si="50"/>
        <v>469381</v>
      </c>
      <c r="J286" s="36">
        <f t="shared" si="51"/>
        <v>92.876199999999997</v>
      </c>
      <c r="K286" s="48" t="s">
        <v>83</v>
      </c>
      <c r="L286" s="48" t="s">
        <v>83</v>
      </c>
      <c r="M286" s="52" t="s">
        <v>331</v>
      </c>
      <c r="N286" s="48" t="s">
        <v>86</v>
      </c>
      <c r="O286" s="35">
        <v>25000</v>
      </c>
      <c r="P286" s="35"/>
      <c r="Q286" s="35"/>
      <c r="R286" s="35"/>
      <c r="S286" s="41"/>
    </row>
    <row r="287" spans="1:19" s="15" customFormat="1" ht="26.25" customHeight="1" x14ac:dyDescent="0.2">
      <c r="A287" s="43" t="s">
        <v>883</v>
      </c>
      <c r="B287" s="46" t="s">
        <v>46</v>
      </c>
      <c r="C287" s="44" t="s">
        <v>887</v>
      </c>
      <c r="D287" s="47">
        <v>8152</v>
      </c>
      <c r="E287" s="46" t="s">
        <v>892</v>
      </c>
      <c r="F287" s="35">
        <v>16735</v>
      </c>
      <c r="G287" s="35">
        <v>16735</v>
      </c>
      <c r="H287" s="35">
        <v>0</v>
      </c>
      <c r="I287" s="35">
        <f>G287+H287</f>
        <v>16735</v>
      </c>
      <c r="J287" s="36">
        <f>IF(G287=0,100%,(I287-G287)/G287)</f>
        <v>0</v>
      </c>
      <c r="K287" s="48" t="s">
        <v>83</v>
      </c>
      <c r="L287" s="48" t="s">
        <v>85</v>
      </c>
      <c r="M287" s="38">
        <v>41943</v>
      </c>
      <c r="N287" s="48"/>
      <c r="O287" s="35">
        <v>16735</v>
      </c>
      <c r="P287" s="35"/>
      <c r="Q287" s="35"/>
      <c r="R287" s="35"/>
      <c r="S287" s="41"/>
    </row>
    <row r="288" spans="1:19" s="15" customFormat="1" ht="26.25" customHeight="1" x14ac:dyDescent="0.2">
      <c r="A288" s="43" t="s">
        <v>884</v>
      </c>
      <c r="B288" s="46" t="s">
        <v>40</v>
      </c>
      <c r="C288" s="44" t="s">
        <v>888</v>
      </c>
      <c r="D288" s="47" t="s">
        <v>890</v>
      </c>
      <c r="E288" s="56" t="s">
        <v>893</v>
      </c>
      <c r="F288" s="35">
        <v>35000</v>
      </c>
      <c r="G288" s="35">
        <v>36743</v>
      </c>
      <c r="H288" s="35">
        <f>36743+36743+35000</f>
        <v>108486</v>
      </c>
      <c r="I288" s="35">
        <f>G288+H288</f>
        <v>145229</v>
      </c>
      <c r="J288" s="36">
        <f>IF(G288=0,100%,(I288-G288)/G288)</f>
        <v>2.9525623928367306</v>
      </c>
      <c r="K288" s="48" t="s">
        <v>83</v>
      </c>
      <c r="L288" s="48" t="s">
        <v>83</v>
      </c>
      <c r="M288" s="38">
        <v>42124</v>
      </c>
      <c r="N288" s="48" t="s">
        <v>86</v>
      </c>
      <c r="O288" s="35">
        <v>35000</v>
      </c>
      <c r="P288" s="35"/>
      <c r="Q288" s="35"/>
      <c r="R288" s="35"/>
      <c r="S288" s="41"/>
    </row>
    <row r="289" spans="1:19" s="15" customFormat="1" ht="26.25" customHeight="1" x14ac:dyDescent="0.2">
      <c r="A289" s="43" t="s">
        <v>885</v>
      </c>
      <c r="B289" s="46" t="s">
        <v>145</v>
      </c>
      <c r="C289" s="44" t="s">
        <v>889</v>
      </c>
      <c r="D289" s="47">
        <v>8153</v>
      </c>
      <c r="E289" s="46" t="s">
        <v>894</v>
      </c>
      <c r="F289" s="35">
        <v>2000</v>
      </c>
      <c r="G289" s="35">
        <v>4000</v>
      </c>
      <c r="H289" s="35">
        <v>2000</v>
      </c>
      <c r="I289" s="35">
        <f>G289+H289</f>
        <v>6000</v>
      </c>
      <c r="J289" s="36">
        <f>IF(G289=0,100%,(I289-G289)/G289)</f>
        <v>0.5</v>
      </c>
      <c r="K289" s="48" t="s">
        <v>83</v>
      </c>
      <c r="L289" s="48" t="s">
        <v>83</v>
      </c>
      <c r="M289" s="38">
        <v>41820</v>
      </c>
      <c r="N289" s="48" t="s">
        <v>86</v>
      </c>
      <c r="O289" s="35">
        <v>2000</v>
      </c>
      <c r="P289" s="35"/>
      <c r="Q289" s="35"/>
      <c r="R289" s="35"/>
      <c r="S289" s="41"/>
    </row>
    <row r="290" spans="1:19" s="15" customFormat="1" ht="26.25" customHeight="1" x14ac:dyDescent="0.2">
      <c r="A290" s="43" t="s">
        <v>886</v>
      </c>
      <c r="B290" s="46" t="s">
        <v>94</v>
      </c>
      <c r="C290" s="44" t="s">
        <v>99</v>
      </c>
      <c r="D290" s="47" t="s">
        <v>891</v>
      </c>
      <c r="E290" s="46" t="s">
        <v>895</v>
      </c>
      <c r="F290" s="35">
        <f>15000+15000</f>
        <v>30000</v>
      </c>
      <c r="G290" s="35">
        <v>7500</v>
      </c>
      <c r="H290" s="35">
        <f>12000+15000+15000</f>
        <v>42000</v>
      </c>
      <c r="I290" s="35">
        <f>G290+H290</f>
        <v>49500</v>
      </c>
      <c r="J290" s="36">
        <f>IF(G290=0,100%,(I290-G290)/G290)</f>
        <v>5.6</v>
      </c>
      <c r="K290" s="48" t="s">
        <v>83</v>
      </c>
      <c r="L290" s="48" t="s">
        <v>83</v>
      </c>
      <c r="M290" s="38">
        <v>41943</v>
      </c>
      <c r="N290" s="48" t="s">
        <v>86</v>
      </c>
      <c r="O290" s="35">
        <v>15000</v>
      </c>
      <c r="P290" s="35">
        <v>15000</v>
      </c>
      <c r="Q290" s="35"/>
      <c r="R290" s="35"/>
      <c r="S290" s="41"/>
    </row>
    <row r="291" spans="1:19" s="15" customFormat="1" ht="26.25" customHeight="1" x14ac:dyDescent="0.2">
      <c r="A291" s="43" t="s">
        <v>896</v>
      </c>
      <c r="B291" s="46" t="s">
        <v>46</v>
      </c>
      <c r="C291" s="44" t="s">
        <v>905</v>
      </c>
      <c r="D291" s="47">
        <v>8061</v>
      </c>
      <c r="E291" s="46" t="s">
        <v>913</v>
      </c>
      <c r="F291" s="35">
        <f>35000*3</f>
        <v>105000</v>
      </c>
      <c r="G291" s="35">
        <f>35000*3</f>
        <v>105000</v>
      </c>
      <c r="H291" s="35">
        <v>0</v>
      </c>
      <c r="I291" s="35">
        <f t="shared" ref="I291:I298" si="52">G291+H291</f>
        <v>105000</v>
      </c>
      <c r="J291" s="36">
        <f t="shared" ref="J291:J298" si="53">IF(G291=0,100%,(I291-G291)/G291)</f>
        <v>0</v>
      </c>
      <c r="K291" s="48" t="s">
        <v>83</v>
      </c>
      <c r="L291" s="48" t="s">
        <v>83</v>
      </c>
      <c r="M291" s="38">
        <v>41820</v>
      </c>
      <c r="N291" s="48" t="s">
        <v>84</v>
      </c>
      <c r="O291" s="35">
        <v>35000</v>
      </c>
      <c r="P291" s="35">
        <v>35000</v>
      </c>
      <c r="Q291" s="35">
        <v>35000</v>
      </c>
      <c r="R291" s="35"/>
      <c r="S291" s="41"/>
    </row>
    <row r="292" spans="1:19" s="15" customFormat="1" ht="26.25" customHeight="1" x14ac:dyDescent="0.2">
      <c r="A292" s="43" t="s">
        <v>897</v>
      </c>
      <c r="B292" s="46" t="s">
        <v>46</v>
      </c>
      <c r="C292" s="44" t="s">
        <v>570</v>
      </c>
      <c r="D292" s="47">
        <v>8070</v>
      </c>
      <c r="E292" s="46" t="s">
        <v>913</v>
      </c>
      <c r="F292" s="35">
        <f>25000*3</f>
        <v>75000</v>
      </c>
      <c r="G292" s="35">
        <f>25000*3</f>
        <v>75000</v>
      </c>
      <c r="H292" s="35">
        <v>0</v>
      </c>
      <c r="I292" s="35">
        <f t="shared" si="52"/>
        <v>75000</v>
      </c>
      <c r="J292" s="36">
        <f t="shared" si="53"/>
        <v>0</v>
      </c>
      <c r="K292" s="48" t="s">
        <v>83</v>
      </c>
      <c r="L292" s="48" t="s">
        <v>83</v>
      </c>
      <c r="M292" s="38">
        <v>41820</v>
      </c>
      <c r="N292" s="48" t="s">
        <v>84</v>
      </c>
      <c r="O292" s="35">
        <v>25000</v>
      </c>
      <c r="P292" s="35">
        <v>25000</v>
      </c>
      <c r="Q292" s="35">
        <v>25000</v>
      </c>
      <c r="R292" s="35"/>
      <c r="S292" s="41"/>
    </row>
    <row r="293" spans="1:19" s="15" customFormat="1" ht="26.25" customHeight="1" x14ac:dyDescent="0.2">
      <c r="A293" s="43" t="s">
        <v>898</v>
      </c>
      <c r="B293" s="46" t="s">
        <v>46</v>
      </c>
      <c r="C293" s="44" t="s">
        <v>906</v>
      </c>
      <c r="D293" s="47">
        <v>8073</v>
      </c>
      <c r="E293" s="46" t="s">
        <v>914</v>
      </c>
      <c r="F293" s="35">
        <f>15000*3</f>
        <v>45000</v>
      </c>
      <c r="G293" s="35">
        <f>15000*3</f>
        <v>45000</v>
      </c>
      <c r="H293" s="35">
        <v>0</v>
      </c>
      <c r="I293" s="35">
        <f t="shared" si="52"/>
        <v>45000</v>
      </c>
      <c r="J293" s="36">
        <f t="shared" si="53"/>
        <v>0</v>
      </c>
      <c r="K293" s="48" t="s">
        <v>83</v>
      </c>
      <c r="L293" s="48" t="s">
        <v>83</v>
      </c>
      <c r="M293" s="38">
        <v>41820</v>
      </c>
      <c r="N293" s="48" t="s">
        <v>84</v>
      </c>
      <c r="O293" s="35">
        <v>15000</v>
      </c>
      <c r="P293" s="35">
        <v>15000</v>
      </c>
      <c r="Q293" s="35">
        <v>15000</v>
      </c>
      <c r="R293" s="35"/>
      <c r="S293" s="41"/>
    </row>
    <row r="294" spans="1:19" s="15" customFormat="1" ht="26.25" customHeight="1" x14ac:dyDescent="0.2">
      <c r="A294" s="43" t="s">
        <v>899</v>
      </c>
      <c r="B294" s="46" t="s">
        <v>124</v>
      </c>
      <c r="C294" s="44" t="s">
        <v>907</v>
      </c>
      <c r="D294" s="47" t="s">
        <v>911</v>
      </c>
      <c r="E294" s="46" t="s">
        <v>915</v>
      </c>
      <c r="F294" s="35">
        <v>10000</v>
      </c>
      <c r="G294" s="35">
        <v>4990</v>
      </c>
      <c r="H294" s="35">
        <v>10000</v>
      </c>
      <c r="I294" s="35">
        <f t="shared" si="52"/>
        <v>14990</v>
      </c>
      <c r="J294" s="36">
        <f t="shared" si="53"/>
        <v>2.0040080160320639</v>
      </c>
      <c r="K294" s="48" t="s">
        <v>83</v>
      </c>
      <c r="L294" s="48" t="s">
        <v>83</v>
      </c>
      <c r="M294" s="38">
        <v>41820</v>
      </c>
      <c r="N294" s="48" t="s">
        <v>86</v>
      </c>
      <c r="O294" s="35">
        <v>10000</v>
      </c>
      <c r="P294" s="35"/>
      <c r="Q294" s="35"/>
      <c r="R294" s="35"/>
      <c r="S294" s="41"/>
    </row>
    <row r="295" spans="1:19" s="15" customFormat="1" ht="26.25" customHeight="1" x14ac:dyDescent="0.2">
      <c r="A295" s="43" t="s">
        <v>900</v>
      </c>
      <c r="B295" s="46" t="s">
        <v>904</v>
      </c>
      <c r="C295" s="44" t="s">
        <v>908</v>
      </c>
      <c r="D295" s="47" t="s">
        <v>912</v>
      </c>
      <c r="E295" s="46" t="s">
        <v>916</v>
      </c>
      <c r="F295" s="35">
        <v>7500</v>
      </c>
      <c r="G295" s="35">
        <v>15000</v>
      </c>
      <c r="H295" s="35">
        <f>10000+7500</f>
        <v>17500</v>
      </c>
      <c r="I295" s="35">
        <f t="shared" si="52"/>
        <v>32500</v>
      </c>
      <c r="J295" s="36">
        <f t="shared" si="53"/>
        <v>1.1666666666666667</v>
      </c>
      <c r="K295" s="48" t="s">
        <v>83</v>
      </c>
      <c r="L295" s="48" t="s">
        <v>83</v>
      </c>
      <c r="M295" s="38">
        <v>41820</v>
      </c>
      <c r="N295" s="48" t="s">
        <v>86</v>
      </c>
      <c r="O295" s="35">
        <v>7500</v>
      </c>
      <c r="P295" s="35"/>
      <c r="Q295" s="35"/>
      <c r="R295" s="35"/>
      <c r="S295" s="41"/>
    </row>
    <row r="296" spans="1:19" s="15" customFormat="1" ht="26.25" customHeight="1" x14ac:dyDescent="0.2">
      <c r="A296" s="43" t="s">
        <v>901</v>
      </c>
      <c r="B296" s="46" t="s">
        <v>39</v>
      </c>
      <c r="C296" s="44" t="s">
        <v>441</v>
      </c>
      <c r="D296" s="47">
        <v>8176</v>
      </c>
      <c r="E296" s="46" t="s">
        <v>917</v>
      </c>
      <c r="F296" s="35">
        <v>6500</v>
      </c>
      <c r="G296" s="35">
        <v>6500</v>
      </c>
      <c r="H296" s="35">
        <v>0</v>
      </c>
      <c r="I296" s="35">
        <f t="shared" si="52"/>
        <v>6500</v>
      </c>
      <c r="J296" s="36">
        <f t="shared" si="53"/>
        <v>0</v>
      </c>
      <c r="K296" s="48" t="s">
        <v>83</v>
      </c>
      <c r="L296" s="48" t="s">
        <v>85</v>
      </c>
      <c r="M296" s="38">
        <v>41820</v>
      </c>
      <c r="N296" s="48"/>
      <c r="O296" s="35">
        <v>6500</v>
      </c>
      <c r="P296" s="35"/>
      <c r="Q296" s="35"/>
      <c r="R296" s="35"/>
      <c r="S296" s="41"/>
    </row>
    <row r="297" spans="1:19" s="15" customFormat="1" ht="26.25" customHeight="1" x14ac:dyDescent="0.2">
      <c r="A297" s="43" t="s">
        <v>902</v>
      </c>
      <c r="B297" s="46" t="s">
        <v>39</v>
      </c>
      <c r="C297" s="44" t="s">
        <v>909</v>
      </c>
      <c r="D297" s="47">
        <v>8195</v>
      </c>
      <c r="E297" s="46" t="s">
        <v>918</v>
      </c>
      <c r="F297" s="35">
        <v>8884</v>
      </c>
      <c r="G297" s="35">
        <v>8884</v>
      </c>
      <c r="H297" s="35">
        <v>0</v>
      </c>
      <c r="I297" s="35">
        <f t="shared" si="52"/>
        <v>8884</v>
      </c>
      <c r="J297" s="36">
        <f t="shared" si="53"/>
        <v>0</v>
      </c>
      <c r="K297" s="48" t="s">
        <v>83</v>
      </c>
      <c r="L297" s="48" t="s">
        <v>85</v>
      </c>
      <c r="M297" s="38">
        <v>41746</v>
      </c>
      <c r="N297" s="48"/>
      <c r="O297" s="35">
        <v>8884</v>
      </c>
      <c r="P297" s="35"/>
      <c r="Q297" s="35"/>
      <c r="R297" s="35"/>
      <c r="S297" s="41"/>
    </row>
    <row r="298" spans="1:19" s="15" customFormat="1" ht="26.25" customHeight="1" x14ac:dyDescent="0.2">
      <c r="A298" s="43" t="s">
        <v>903</v>
      </c>
      <c r="B298" s="46" t="s">
        <v>46</v>
      </c>
      <c r="C298" s="44" t="s">
        <v>910</v>
      </c>
      <c r="D298" s="47">
        <v>8205</v>
      </c>
      <c r="E298" s="46" t="s">
        <v>919</v>
      </c>
      <c r="F298" s="35">
        <f>30000*3</f>
        <v>90000</v>
      </c>
      <c r="G298" s="35">
        <f>30000*3</f>
        <v>90000</v>
      </c>
      <c r="H298" s="35">
        <v>0</v>
      </c>
      <c r="I298" s="35">
        <f t="shared" si="52"/>
        <v>90000</v>
      </c>
      <c r="J298" s="36">
        <f t="shared" si="53"/>
        <v>0</v>
      </c>
      <c r="K298" s="48" t="s">
        <v>83</v>
      </c>
      <c r="L298" s="48" t="s">
        <v>83</v>
      </c>
      <c r="M298" s="38">
        <v>41820</v>
      </c>
      <c r="N298" s="48" t="s">
        <v>84</v>
      </c>
      <c r="O298" s="35">
        <v>30000</v>
      </c>
      <c r="P298" s="35">
        <v>30000</v>
      </c>
      <c r="Q298" s="35">
        <v>30000</v>
      </c>
      <c r="R298" s="35"/>
      <c r="S298" s="41"/>
    </row>
    <row r="299" spans="1:19" s="15" customFormat="1" ht="26.25" customHeight="1" x14ac:dyDescent="0.2">
      <c r="A299" s="43" t="s">
        <v>920</v>
      </c>
      <c r="B299" s="46" t="s">
        <v>46</v>
      </c>
      <c r="C299" s="44" t="s">
        <v>521</v>
      </c>
      <c r="D299" s="47">
        <v>8108</v>
      </c>
      <c r="E299" s="46" t="s">
        <v>930</v>
      </c>
      <c r="F299" s="35">
        <v>77769</v>
      </c>
      <c r="G299" s="35">
        <v>77769</v>
      </c>
      <c r="H299" s="35"/>
      <c r="I299" s="35">
        <f t="shared" ref="I299:I306" si="54">G299+H299</f>
        <v>77769</v>
      </c>
      <c r="J299" s="36">
        <f t="shared" ref="J299:J306" si="55">IF(G299=0,100%,(I299-G299)/G299)</f>
        <v>0</v>
      </c>
      <c r="K299" s="48" t="s">
        <v>83</v>
      </c>
      <c r="L299" s="48" t="s">
        <v>83</v>
      </c>
      <c r="M299" s="52">
        <v>42822</v>
      </c>
      <c r="N299" s="48"/>
      <c r="O299" s="35">
        <v>77769</v>
      </c>
      <c r="P299" s="35"/>
      <c r="Q299" s="35"/>
      <c r="R299" s="35"/>
      <c r="S299" s="41"/>
    </row>
    <row r="300" spans="1:19" s="15" customFormat="1" ht="26.25" customHeight="1" x14ac:dyDescent="0.2">
      <c r="A300" s="43" t="s">
        <v>921</v>
      </c>
      <c r="B300" s="46" t="s">
        <v>46</v>
      </c>
      <c r="C300" s="44" t="s">
        <v>928</v>
      </c>
      <c r="D300" s="47">
        <v>8186</v>
      </c>
      <c r="E300" s="46" t="s">
        <v>931</v>
      </c>
      <c r="F300" s="35">
        <v>96175</v>
      </c>
      <c r="G300" s="35">
        <v>96175</v>
      </c>
      <c r="H300" s="35">
        <v>0</v>
      </c>
      <c r="I300" s="35">
        <f t="shared" si="54"/>
        <v>96175</v>
      </c>
      <c r="J300" s="36">
        <f t="shared" si="55"/>
        <v>0</v>
      </c>
      <c r="K300" s="48" t="s">
        <v>83</v>
      </c>
      <c r="L300" s="48" t="s">
        <v>85</v>
      </c>
      <c r="M300" s="38">
        <v>41698</v>
      </c>
      <c r="N300" s="48"/>
      <c r="O300" s="35">
        <v>96175</v>
      </c>
      <c r="P300" s="35"/>
      <c r="Q300" s="35"/>
      <c r="R300" s="35"/>
      <c r="S300" s="41"/>
    </row>
    <row r="301" spans="1:19" s="15" customFormat="1" ht="26.25" customHeight="1" x14ac:dyDescent="0.2">
      <c r="A301" s="43" t="s">
        <v>922</v>
      </c>
      <c r="B301" s="46" t="s">
        <v>124</v>
      </c>
      <c r="C301" s="44" t="s">
        <v>132</v>
      </c>
      <c r="D301" s="47">
        <v>8196</v>
      </c>
      <c r="E301" s="46" t="s">
        <v>932</v>
      </c>
      <c r="F301" s="35">
        <f t="shared" ref="F301:G303" si="56">95000*3</f>
        <v>285000</v>
      </c>
      <c r="G301" s="35">
        <f t="shared" si="56"/>
        <v>285000</v>
      </c>
      <c r="H301" s="35">
        <v>0</v>
      </c>
      <c r="I301" s="35">
        <f t="shared" si="54"/>
        <v>285000</v>
      </c>
      <c r="J301" s="36">
        <f t="shared" si="55"/>
        <v>0</v>
      </c>
      <c r="K301" s="48" t="s">
        <v>83</v>
      </c>
      <c r="L301" s="48" t="s">
        <v>85</v>
      </c>
      <c r="M301" s="38">
        <v>42124</v>
      </c>
      <c r="N301" s="48" t="s">
        <v>84</v>
      </c>
      <c r="O301" s="35">
        <v>95000</v>
      </c>
      <c r="P301" s="35">
        <v>95000</v>
      </c>
      <c r="Q301" s="35">
        <v>95000</v>
      </c>
      <c r="R301" s="35"/>
      <c r="S301" s="41"/>
    </row>
    <row r="302" spans="1:19" s="15" customFormat="1" ht="26.25" customHeight="1" x14ac:dyDescent="0.2">
      <c r="A302" s="43" t="s">
        <v>923</v>
      </c>
      <c r="B302" s="46" t="s">
        <v>124</v>
      </c>
      <c r="C302" s="44" t="s">
        <v>929</v>
      </c>
      <c r="D302" s="47">
        <v>8197</v>
      </c>
      <c r="E302" s="46" t="s">
        <v>932</v>
      </c>
      <c r="F302" s="35">
        <f t="shared" si="56"/>
        <v>285000</v>
      </c>
      <c r="G302" s="35">
        <f t="shared" si="56"/>
        <v>285000</v>
      </c>
      <c r="H302" s="35">
        <v>0</v>
      </c>
      <c r="I302" s="35">
        <f t="shared" si="54"/>
        <v>285000</v>
      </c>
      <c r="J302" s="36">
        <f t="shared" si="55"/>
        <v>0</v>
      </c>
      <c r="K302" s="48" t="s">
        <v>83</v>
      </c>
      <c r="L302" s="48" t="s">
        <v>85</v>
      </c>
      <c r="M302" s="38">
        <v>42124</v>
      </c>
      <c r="N302" s="48" t="s">
        <v>84</v>
      </c>
      <c r="O302" s="35">
        <v>95000</v>
      </c>
      <c r="P302" s="35">
        <v>95000</v>
      </c>
      <c r="Q302" s="35">
        <v>95000</v>
      </c>
      <c r="R302" s="35"/>
      <c r="S302" s="41"/>
    </row>
    <row r="303" spans="1:19" s="15" customFormat="1" ht="26.25" customHeight="1" x14ac:dyDescent="0.2">
      <c r="A303" s="43" t="s">
        <v>924</v>
      </c>
      <c r="B303" s="46" t="s">
        <v>124</v>
      </c>
      <c r="C303" s="44" t="s">
        <v>1088</v>
      </c>
      <c r="D303" s="47">
        <v>8198</v>
      </c>
      <c r="E303" s="46" t="s">
        <v>933</v>
      </c>
      <c r="F303" s="35">
        <f t="shared" si="56"/>
        <v>285000</v>
      </c>
      <c r="G303" s="35">
        <f t="shared" si="56"/>
        <v>285000</v>
      </c>
      <c r="H303" s="35">
        <v>0</v>
      </c>
      <c r="I303" s="35">
        <f t="shared" si="54"/>
        <v>285000</v>
      </c>
      <c r="J303" s="36">
        <f t="shared" si="55"/>
        <v>0</v>
      </c>
      <c r="K303" s="48" t="s">
        <v>83</v>
      </c>
      <c r="L303" s="48" t="s">
        <v>85</v>
      </c>
      <c r="M303" s="38">
        <v>42124</v>
      </c>
      <c r="N303" s="48" t="s">
        <v>84</v>
      </c>
      <c r="O303" s="35">
        <v>95000</v>
      </c>
      <c r="P303" s="35">
        <v>95000</v>
      </c>
      <c r="Q303" s="35">
        <v>95000</v>
      </c>
      <c r="R303" s="35"/>
      <c r="S303" s="41"/>
    </row>
    <row r="304" spans="1:19" s="15" customFormat="1" ht="26.25" customHeight="1" x14ac:dyDescent="0.2">
      <c r="A304" s="43" t="s">
        <v>925</v>
      </c>
      <c r="B304" s="46" t="s">
        <v>46</v>
      </c>
      <c r="C304" s="44" t="s">
        <v>910</v>
      </c>
      <c r="D304" s="47">
        <v>8205</v>
      </c>
      <c r="E304" s="46" t="s">
        <v>919</v>
      </c>
      <c r="F304" s="35">
        <f>40000+40000</f>
        <v>80000</v>
      </c>
      <c r="G304" s="35">
        <v>50000</v>
      </c>
      <c r="H304" s="35">
        <f>40000+40000</f>
        <v>80000</v>
      </c>
      <c r="I304" s="35">
        <f t="shared" si="54"/>
        <v>130000</v>
      </c>
      <c r="J304" s="36">
        <f t="shared" si="55"/>
        <v>1.6</v>
      </c>
      <c r="K304" s="48" t="s">
        <v>83</v>
      </c>
      <c r="L304" s="48" t="s">
        <v>83</v>
      </c>
      <c r="M304" s="38">
        <v>41820</v>
      </c>
      <c r="N304" s="48" t="s">
        <v>86</v>
      </c>
      <c r="O304" s="35">
        <v>40000</v>
      </c>
      <c r="P304" s="35">
        <v>40000</v>
      </c>
      <c r="Q304" s="35"/>
      <c r="R304" s="35"/>
      <c r="S304" s="41"/>
    </row>
    <row r="305" spans="1:19" s="15" customFormat="1" ht="26.25" customHeight="1" x14ac:dyDescent="0.2">
      <c r="A305" s="43" t="s">
        <v>926</v>
      </c>
      <c r="B305" s="46" t="s">
        <v>46</v>
      </c>
      <c r="C305" s="44" t="s">
        <v>409</v>
      </c>
      <c r="D305" s="47">
        <v>8207</v>
      </c>
      <c r="E305" s="46" t="s">
        <v>934</v>
      </c>
      <c r="F305" s="35">
        <f>30000*2</f>
        <v>60000</v>
      </c>
      <c r="G305" s="35">
        <v>20000</v>
      </c>
      <c r="H305" s="35">
        <f>30000*2</f>
        <v>60000</v>
      </c>
      <c r="I305" s="35">
        <f t="shared" si="54"/>
        <v>80000</v>
      </c>
      <c r="J305" s="36">
        <f t="shared" si="55"/>
        <v>3</v>
      </c>
      <c r="K305" s="48" t="s">
        <v>83</v>
      </c>
      <c r="L305" s="48" t="s">
        <v>83</v>
      </c>
      <c r="M305" s="38">
        <v>41820</v>
      </c>
      <c r="N305" s="48" t="s">
        <v>86</v>
      </c>
      <c r="O305" s="35">
        <v>30000</v>
      </c>
      <c r="P305" s="35">
        <v>30000</v>
      </c>
      <c r="Q305" s="35"/>
      <c r="R305" s="35"/>
      <c r="S305" s="41"/>
    </row>
    <row r="306" spans="1:19" s="15" customFormat="1" ht="26.25" customHeight="1" x14ac:dyDescent="0.2">
      <c r="A306" s="43" t="s">
        <v>927</v>
      </c>
      <c r="B306" s="46" t="s">
        <v>41</v>
      </c>
      <c r="C306" s="44" t="s">
        <v>538</v>
      </c>
      <c r="D306" s="47">
        <v>8215</v>
      </c>
      <c r="E306" s="46" t="s">
        <v>764</v>
      </c>
      <c r="F306" s="35">
        <v>24500</v>
      </c>
      <c r="G306" s="35">
        <v>22330</v>
      </c>
      <c r="H306" s="35">
        <f>25000+25000+25000+24500</f>
        <v>99500</v>
      </c>
      <c r="I306" s="35">
        <f t="shared" si="54"/>
        <v>121830</v>
      </c>
      <c r="J306" s="36">
        <f t="shared" si="55"/>
        <v>4.4558889386475595</v>
      </c>
      <c r="K306" s="48" t="s">
        <v>83</v>
      </c>
      <c r="L306" s="48" t="s">
        <v>83</v>
      </c>
      <c r="M306" s="38">
        <v>41820</v>
      </c>
      <c r="N306" s="48" t="s">
        <v>86</v>
      </c>
      <c r="O306" s="35">
        <v>24500</v>
      </c>
      <c r="P306" s="35"/>
      <c r="Q306" s="35"/>
      <c r="R306" s="35"/>
      <c r="S306" s="41"/>
    </row>
    <row r="307" spans="1:19" s="15" customFormat="1" ht="26.25" customHeight="1" x14ac:dyDescent="0.2">
      <c r="A307" s="43" t="s">
        <v>935</v>
      </c>
      <c r="B307" s="46" t="s">
        <v>940</v>
      </c>
      <c r="C307" s="44" t="s">
        <v>941</v>
      </c>
      <c r="D307" s="47" t="s">
        <v>944</v>
      </c>
      <c r="E307" s="46" t="s">
        <v>945</v>
      </c>
      <c r="F307" s="35">
        <v>4200</v>
      </c>
      <c r="G307" s="35">
        <v>22969</v>
      </c>
      <c r="H307" s="35">
        <v>4200</v>
      </c>
      <c r="I307" s="35">
        <f t="shared" ref="I307:I313" si="57">G307+H307</f>
        <v>27169</v>
      </c>
      <c r="J307" s="36">
        <f t="shared" ref="J307:J313" si="58">IF(G307=0,100%,(I307-G307)/G307)</f>
        <v>0.18285515259697854</v>
      </c>
      <c r="K307" s="48" t="s">
        <v>83</v>
      </c>
      <c r="L307" s="48" t="s">
        <v>83</v>
      </c>
      <c r="M307" s="38">
        <v>41817</v>
      </c>
      <c r="N307" s="48" t="s">
        <v>86</v>
      </c>
      <c r="O307" s="35">
        <v>4200</v>
      </c>
      <c r="P307" s="35"/>
      <c r="Q307" s="35"/>
      <c r="R307" s="35"/>
      <c r="S307" s="41"/>
    </row>
    <row r="308" spans="1:19" s="15" customFormat="1" ht="26.25" customHeight="1" x14ac:dyDescent="0.2">
      <c r="A308" s="43" t="s">
        <v>936</v>
      </c>
      <c r="B308" s="46" t="s">
        <v>39</v>
      </c>
      <c r="C308" s="44" t="s">
        <v>648</v>
      </c>
      <c r="D308" s="47">
        <v>8232</v>
      </c>
      <c r="E308" s="46" t="s">
        <v>946</v>
      </c>
      <c r="F308" s="35">
        <v>19600</v>
      </c>
      <c r="G308" s="35">
        <v>19600</v>
      </c>
      <c r="H308" s="35">
        <v>0</v>
      </c>
      <c r="I308" s="35">
        <f t="shared" si="57"/>
        <v>19600</v>
      </c>
      <c r="J308" s="36">
        <f t="shared" si="58"/>
        <v>0</v>
      </c>
      <c r="K308" s="48" t="s">
        <v>83</v>
      </c>
      <c r="L308" s="48" t="s">
        <v>83</v>
      </c>
      <c r="M308" s="38">
        <v>41754</v>
      </c>
      <c r="N308" s="48"/>
      <c r="O308" s="35">
        <v>19600</v>
      </c>
      <c r="P308" s="35"/>
      <c r="Q308" s="35"/>
      <c r="R308" s="35"/>
      <c r="S308" s="41"/>
    </row>
    <row r="309" spans="1:19" s="15" customFormat="1" ht="26.25" customHeight="1" x14ac:dyDescent="0.2">
      <c r="A309" s="43" t="s">
        <v>937</v>
      </c>
      <c r="B309" s="46" t="s">
        <v>41</v>
      </c>
      <c r="C309" s="44" t="s">
        <v>54</v>
      </c>
      <c r="D309" s="47">
        <v>8240</v>
      </c>
      <c r="E309" s="46" t="s">
        <v>947</v>
      </c>
      <c r="F309" s="35">
        <v>23849</v>
      </c>
      <c r="G309" s="35">
        <v>23849</v>
      </c>
      <c r="H309" s="35">
        <v>0</v>
      </c>
      <c r="I309" s="35">
        <f t="shared" si="57"/>
        <v>23849</v>
      </c>
      <c r="J309" s="36">
        <f t="shared" si="58"/>
        <v>0</v>
      </c>
      <c r="K309" s="48" t="s">
        <v>83</v>
      </c>
      <c r="L309" s="48" t="s">
        <v>85</v>
      </c>
      <c r="M309" s="38">
        <v>41820</v>
      </c>
      <c r="N309" s="48"/>
      <c r="O309" s="35">
        <v>23849</v>
      </c>
      <c r="P309" s="35"/>
      <c r="Q309" s="35"/>
      <c r="R309" s="35"/>
      <c r="S309" s="41"/>
    </row>
    <row r="310" spans="1:19" s="15" customFormat="1" ht="26.25" customHeight="1" x14ac:dyDescent="0.2">
      <c r="A310" s="43" t="s">
        <v>938</v>
      </c>
      <c r="B310" s="46" t="s">
        <v>39</v>
      </c>
      <c r="C310" s="44" t="s">
        <v>942</v>
      </c>
      <c r="D310" s="47">
        <v>8242</v>
      </c>
      <c r="E310" s="46" t="s">
        <v>948</v>
      </c>
      <c r="F310" s="35">
        <v>5400</v>
      </c>
      <c r="G310" s="35">
        <v>5400</v>
      </c>
      <c r="H310" s="35">
        <v>0</v>
      </c>
      <c r="I310" s="35">
        <f t="shared" si="57"/>
        <v>5400</v>
      </c>
      <c r="J310" s="36">
        <f t="shared" si="58"/>
        <v>0</v>
      </c>
      <c r="K310" s="48" t="s">
        <v>83</v>
      </c>
      <c r="L310" s="48" t="s">
        <v>83</v>
      </c>
      <c r="M310" s="38">
        <v>41756</v>
      </c>
      <c r="N310" s="48"/>
      <c r="O310" s="35">
        <v>5400</v>
      </c>
      <c r="P310" s="35"/>
      <c r="Q310" s="35"/>
      <c r="R310" s="35"/>
      <c r="S310" s="41"/>
    </row>
    <row r="311" spans="1:19" s="15" customFormat="1" ht="38.25" customHeight="1" x14ac:dyDescent="0.2">
      <c r="A311" s="43" t="s">
        <v>939</v>
      </c>
      <c r="B311" s="46" t="s">
        <v>47</v>
      </c>
      <c r="C311" s="44" t="s">
        <v>943</v>
      </c>
      <c r="D311" s="47">
        <v>8267</v>
      </c>
      <c r="E311" s="46" t="s">
        <v>949</v>
      </c>
      <c r="F311" s="35">
        <v>15000</v>
      </c>
      <c r="G311" s="35">
        <v>15000</v>
      </c>
      <c r="H311" s="35">
        <v>0</v>
      </c>
      <c r="I311" s="35">
        <f t="shared" si="57"/>
        <v>15000</v>
      </c>
      <c r="J311" s="36">
        <f t="shared" si="58"/>
        <v>0</v>
      </c>
      <c r="K311" s="48" t="s">
        <v>83</v>
      </c>
      <c r="L311" s="48" t="s">
        <v>83</v>
      </c>
      <c r="M311" s="38">
        <v>41820</v>
      </c>
      <c r="N311" s="48"/>
      <c r="O311" s="35">
        <v>15000</v>
      </c>
      <c r="P311" s="35"/>
      <c r="Q311" s="35"/>
      <c r="R311" s="35"/>
      <c r="S311" s="41"/>
    </row>
    <row r="312" spans="1:19" s="15" customFormat="1" ht="38.25" customHeight="1" x14ac:dyDescent="0.2">
      <c r="A312" s="43" t="s">
        <v>950</v>
      </c>
      <c r="B312" s="46" t="s">
        <v>557</v>
      </c>
      <c r="C312" s="44" t="s">
        <v>951</v>
      </c>
      <c r="D312" s="47">
        <v>8290</v>
      </c>
      <c r="E312" s="57" t="s">
        <v>1089</v>
      </c>
      <c r="F312" s="35">
        <v>95000</v>
      </c>
      <c r="G312" s="35">
        <v>95000</v>
      </c>
      <c r="H312" s="35">
        <v>0</v>
      </c>
      <c r="I312" s="35">
        <f t="shared" si="57"/>
        <v>95000</v>
      </c>
      <c r="J312" s="36">
        <f t="shared" si="58"/>
        <v>0</v>
      </c>
      <c r="K312" s="48" t="s">
        <v>83</v>
      </c>
      <c r="L312" s="48" t="s">
        <v>83</v>
      </c>
      <c r="M312" s="38">
        <v>41912</v>
      </c>
      <c r="N312" s="48"/>
      <c r="O312" s="35">
        <v>95000</v>
      </c>
      <c r="P312" s="35"/>
      <c r="Q312" s="35"/>
      <c r="R312" s="35"/>
      <c r="S312" s="41"/>
    </row>
    <row r="313" spans="1:19" s="15" customFormat="1" ht="26.25" customHeight="1" x14ac:dyDescent="0.2">
      <c r="A313" s="43" t="s">
        <v>952</v>
      </c>
      <c r="B313" s="46" t="s">
        <v>940</v>
      </c>
      <c r="C313" s="44" t="s">
        <v>852</v>
      </c>
      <c r="D313" s="47">
        <v>8249</v>
      </c>
      <c r="E313" s="46" t="s">
        <v>965</v>
      </c>
      <c r="F313" s="35">
        <v>11890</v>
      </c>
      <c r="G313" s="35">
        <v>11890</v>
      </c>
      <c r="H313" s="35">
        <v>0</v>
      </c>
      <c r="I313" s="35">
        <f t="shared" si="57"/>
        <v>11890</v>
      </c>
      <c r="J313" s="36">
        <f t="shared" si="58"/>
        <v>0</v>
      </c>
      <c r="K313" s="48" t="s">
        <v>83</v>
      </c>
      <c r="L313" s="48" t="s">
        <v>83</v>
      </c>
      <c r="M313" s="38">
        <v>42094</v>
      </c>
      <c r="N313" s="48"/>
      <c r="O313" s="35">
        <v>11890</v>
      </c>
      <c r="P313" s="35"/>
      <c r="Q313" s="35"/>
      <c r="R313" s="35"/>
      <c r="S313" s="41"/>
    </row>
    <row r="314" spans="1:19" s="15" customFormat="1" ht="26.25" customHeight="1" x14ac:dyDescent="0.2">
      <c r="A314" s="43" t="s">
        <v>953</v>
      </c>
      <c r="B314" s="46" t="s">
        <v>557</v>
      </c>
      <c r="C314" s="44" t="s">
        <v>958</v>
      </c>
      <c r="D314" s="47">
        <v>8254</v>
      </c>
      <c r="E314" s="46" t="s">
        <v>966</v>
      </c>
      <c r="F314" s="35">
        <v>45000</v>
      </c>
      <c r="G314" s="35">
        <v>45000</v>
      </c>
      <c r="H314" s="35">
        <v>0</v>
      </c>
      <c r="I314" s="35">
        <f t="shared" ref="I314:I328" si="59">G314+H314</f>
        <v>45000</v>
      </c>
      <c r="J314" s="36">
        <f t="shared" ref="J314:J328" si="60">IF(G314=0,100%,(I314-G314)/G314)</f>
        <v>0</v>
      </c>
      <c r="K314" s="48" t="s">
        <v>83</v>
      </c>
      <c r="L314" s="48" t="s">
        <v>83</v>
      </c>
      <c r="M314" s="38">
        <v>42215</v>
      </c>
      <c r="N314" s="48"/>
      <c r="O314" s="35">
        <v>45000</v>
      </c>
      <c r="P314" s="35"/>
      <c r="Q314" s="35"/>
      <c r="R314" s="35"/>
      <c r="S314" s="41"/>
    </row>
    <row r="315" spans="1:19" s="15" customFormat="1" ht="26.25" customHeight="1" x14ac:dyDescent="0.2">
      <c r="A315" s="43" t="s">
        <v>954</v>
      </c>
      <c r="B315" s="46" t="s">
        <v>940</v>
      </c>
      <c r="C315" s="44" t="s">
        <v>959</v>
      </c>
      <c r="D315" s="47">
        <v>8258</v>
      </c>
      <c r="E315" s="46" t="s">
        <v>967</v>
      </c>
      <c r="F315" s="35">
        <f>5055+6000+6500</f>
        <v>17555</v>
      </c>
      <c r="G315" s="35">
        <f>5055+6000+6500</f>
        <v>17555</v>
      </c>
      <c r="H315" s="35">
        <v>0</v>
      </c>
      <c r="I315" s="35">
        <f t="shared" si="59"/>
        <v>17555</v>
      </c>
      <c r="J315" s="36">
        <f t="shared" si="60"/>
        <v>0</v>
      </c>
      <c r="K315" s="48" t="s">
        <v>83</v>
      </c>
      <c r="L315" s="48" t="s">
        <v>83</v>
      </c>
      <c r="M315" s="38">
        <v>42137</v>
      </c>
      <c r="N315" s="48" t="s">
        <v>84</v>
      </c>
      <c r="O315" s="35">
        <v>5055</v>
      </c>
      <c r="P315" s="35">
        <v>6000</v>
      </c>
      <c r="Q315" s="35">
        <v>6500</v>
      </c>
      <c r="R315" s="35"/>
      <c r="S315" s="41"/>
    </row>
    <row r="316" spans="1:19" s="15" customFormat="1" ht="26.25" customHeight="1" x14ac:dyDescent="0.2">
      <c r="A316" s="43" t="s">
        <v>955</v>
      </c>
      <c r="B316" s="46" t="s">
        <v>940</v>
      </c>
      <c r="C316" s="44" t="s">
        <v>960</v>
      </c>
      <c r="D316" s="47" t="s">
        <v>963</v>
      </c>
      <c r="E316" s="46" t="s">
        <v>968</v>
      </c>
      <c r="F316" s="35">
        <v>21000</v>
      </c>
      <c r="G316" s="35">
        <v>15000</v>
      </c>
      <c r="H316" s="35">
        <v>21000</v>
      </c>
      <c r="I316" s="35">
        <f t="shared" si="59"/>
        <v>36000</v>
      </c>
      <c r="J316" s="36">
        <f t="shared" si="60"/>
        <v>1.4</v>
      </c>
      <c r="K316" s="48" t="s">
        <v>83</v>
      </c>
      <c r="L316" s="48" t="s">
        <v>83</v>
      </c>
      <c r="M316" s="38">
        <v>41820</v>
      </c>
      <c r="N316" s="48" t="s">
        <v>86</v>
      </c>
      <c r="O316" s="35">
        <v>21000</v>
      </c>
      <c r="P316" s="35"/>
      <c r="Q316" s="35"/>
      <c r="R316" s="35"/>
      <c r="S316" s="41"/>
    </row>
    <row r="317" spans="1:19" s="15" customFormat="1" ht="26.25" customHeight="1" x14ac:dyDescent="0.2">
      <c r="A317" s="43" t="s">
        <v>956</v>
      </c>
      <c r="B317" s="46" t="s">
        <v>40</v>
      </c>
      <c r="C317" s="44" t="s">
        <v>961</v>
      </c>
      <c r="D317" s="47" t="s">
        <v>964</v>
      </c>
      <c r="E317" s="46" t="s">
        <v>969</v>
      </c>
      <c r="F317" s="35">
        <v>3000</v>
      </c>
      <c r="G317" s="35">
        <v>33000</v>
      </c>
      <c r="H317" s="35">
        <v>3000</v>
      </c>
      <c r="I317" s="35">
        <f t="shared" si="59"/>
        <v>36000</v>
      </c>
      <c r="J317" s="36">
        <f t="shared" si="60"/>
        <v>9.0909090909090912E-2</v>
      </c>
      <c r="K317" s="48" t="s">
        <v>83</v>
      </c>
      <c r="L317" s="48" t="s">
        <v>83</v>
      </c>
      <c r="M317" s="38">
        <v>41820</v>
      </c>
      <c r="N317" s="48" t="s">
        <v>86</v>
      </c>
      <c r="O317" s="35">
        <v>3000</v>
      </c>
      <c r="P317" s="35"/>
      <c r="Q317" s="35"/>
      <c r="R317" s="35"/>
      <c r="S317" s="41"/>
    </row>
    <row r="318" spans="1:19" s="15" customFormat="1" ht="26.25" customHeight="1" x14ac:dyDescent="0.2">
      <c r="A318" s="43" t="s">
        <v>957</v>
      </c>
      <c r="B318" s="46" t="s">
        <v>940</v>
      </c>
      <c r="C318" s="44" t="s">
        <v>962</v>
      </c>
      <c r="D318" s="47">
        <v>8302</v>
      </c>
      <c r="E318" s="46" t="s">
        <v>970</v>
      </c>
      <c r="F318" s="35">
        <v>28000</v>
      </c>
      <c r="G318" s="35">
        <v>28000</v>
      </c>
      <c r="H318" s="35">
        <v>0</v>
      </c>
      <c r="I318" s="35">
        <f t="shared" si="59"/>
        <v>28000</v>
      </c>
      <c r="J318" s="36">
        <f t="shared" si="60"/>
        <v>0</v>
      </c>
      <c r="K318" s="48" t="s">
        <v>83</v>
      </c>
      <c r="L318" s="48" t="s">
        <v>83</v>
      </c>
      <c r="M318" s="38">
        <v>42004</v>
      </c>
      <c r="N318" s="48"/>
      <c r="O318" s="35">
        <v>28000</v>
      </c>
      <c r="P318" s="35"/>
      <c r="Q318" s="35"/>
      <c r="R318" s="35"/>
      <c r="S318" s="41"/>
    </row>
    <row r="319" spans="1:19" s="15" customFormat="1" ht="26.25" customHeight="1" x14ac:dyDescent="0.2">
      <c r="A319" s="43" t="s">
        <v>971</v>
      </c>
      <c r="B319" s="46" t="s">
        <v>46</v>
      </c>
      <c r="C319" s="44" t="s">
        <v>976</v>
      </c>
      <c r="D319" s="47">
        <v>8273</v>
      </c>
      <c r="E319" s="46" t="s">
        <v>983</v>
      </c>
      <c r="F319" s="35">
        <v>95987</v>
      </c>
      <c r="G319" s="35">
        <v>95987</v>
      </c>
      <c r="H319" s="35">
        <v>0</v>
      </c>
      <c r="I319" s="35">
        <f t="shared" si="59"/>
        <v>95987</v>
      </c>
      <c r="J319" s="36">
        <f t="shared" si="60"/>
        <v>0</v>
      </c>
      <c r="K319" s="48" t="s">
        <v>85</v>
      </c>
      <c r="L319" s="48" t="s">
        <v>85</v>
      </c>
      <c r="M319" s="38">
        <v>41882</v>
      </c>
      <c r="N319" s="48"/>
      <c r="O319" s="35">
        <v>95987</v>
      </c>
      <c r="P319" s="35"/>
      <c r="Q319" s="35"/>
      <c r="R319" s="35"/>
      <c r="S319" s="41"/>
    </row>
    <row r="320" spans="1:19" s="15" customFormat="1" ht="26.25" customHeight="1" x14ac:dyDescent="0.2">
      <c r="A320" s="43" t="s">
        <v>972</v>
      </c>
      <c r="B320" s="46" t="s">
        <v>619</v>
      </c>
      <c r="C320" s="44" t="s">
        <v>977</v>
      </c>
      <c r="D320" s="47">
        <v>8295</v>
      </c>
      <c r="E320" s="46" t="s">
        <v>981</v>
      </c>
      <c r="F320" s="35">
        <v>68540</v>
      </c>
      <c r="G320" s="35">
        <v>68540</v>
      </c>
      <c r="H320" s="35">
        <v>0</v>
      </c>
      <c r="I320" s="35">
        <f t="shared" si="59"/>
        <v>68540</v>
      </c>
      <c r="J320" s="36">
        <f t="shared" si="60"/>
        <v>0</v>
      </c>
      <c r="K320" s="48" t="s">
        <v>83</v>
      </c>
      <c r="L320" s="48" t="s">
        <v>83</v>
      </c>
      <c r="M320" s="38">
        <v>42004</v>
      </c>
      <c r="N320" s="48"/>
      <c r="O320" s="35">
        <v>68540</v>
      </c>
      <c r="P320" s="35"/>
      <c r="Q320" s="35"/>
      <c r="R320" s="35"/>
      <c r="S320" s="41"/>
    </row>
    <row r="321" spans="1:19" s="15" customFormat="1" ht="26.25" customHeight="1" x14ac:dyDescent="0.2">
      <c r="A321" s="43" t="s">
        <v>973</v>
      </c>
      <c r="B321" s="46" t="s">
        <v>940</v>
      </c>
      <c r="C321" s="44" t="s">
        <v>978</v>
      </c>
      <c r="D321" s="47">
        <v>8297</v>
      </c>
      <c r="E321" s="46" t="s">
        <v>985</v>
      </c>
      <c r="F321" s="35">
        <v>56537</v>
      </c>
      <c r="G321" s="35">
        <v>56537</v>
      </c>
      <c r="H321" s="35">
        <v>0</v>
      </c>
      <c r="I321" s="35">
        <f t="shared" si="59"/>
        <v>56537</v>
      </c>
      <c r="J321" s="36">
        <f t="shared" si="60"/>
        <v>0</v>
      </c>
      <c r="K321" s="48" t="s">
        <v>83</v>
      </c>
      <c r="L321" s="48" t="s">
        <v>83</v>
      </c>
      <c r="M321" s="38">
        <v>42004</v>
      </c>
      <c r="N321" s="48"/>
      <c r="O321" s="35">
        <v>56537</v>
      </c>
      <c r="P321" s="35"/>
      <c r="Q321" s="35"/>
      <c r="R321" s="35"/>
      <c r="S321" s="41"/>
    </row>
    <row r="322" spans="1:19" s="15" customFormat="1" ht="38.25" customHeight="1" x14ac:dyDescent="0.2">
      <c r="A322" s="43" t="s">
        <v>974</v>
      </c>
      <c r="B322" s="46" t="s">
        <v>940</v>
      </c>
      <c r="C322" s="44" t="s">
        <v>979</v>
      </c>
      <c r="D322" s="47">
        <v>8329</v>
      </c>
      <c r="E322" s="46" t="s">
        <v>982</v>
      </c>
      <c r="F322" s="35">
        <v>99000</v>
      </c>
      <c r="G322" s="35">
        <v>99000</v>
      </c>
      <c r="H322" s="35">
        <v>0</v>
      </c>
      <c r="I322" s="35">
        <f t="shared" si="59"/>
        <v>99000</v>
      </c>
      <c r="J322" s="36">
        <f t="shared" si="60"/>
        <v>0</v>
      </c>
      <c r="K322" s="48" t="s">
        <v>83</v>
      </c>
      <c r="L322" s="48" t="s">
        <v>83</v>
      </c>
      <c r="M322" s="38">
        <v>42004</v>
      </c>
      <c r="N322" s="48"/>
      <c r="O322" s="35">
        <v>99000</v>
      </c>
      <c r="P322" s="35"/>
      <c r="Q322" s="35"/>
      <c r="R322" s="35"/>
      <c r="S322" s="41"/>
    </row>
    <row r="323" spans="1:19" s="15" customFormat="1" ht="26.25" customHeight="1" x14ac:dyDescent="0.2">
      <c r="A323" s="43" t="s">
        <v>975</v>
      </c>
      <c r="B323" s="46" t="s">
        <v>940</v>
      </c>
      <c r="C323" s="44" t="s">
        <v>980</v>
      </c>
      <c r="D323" s="47">
        <v>8331</v>
      </c>
      <c r="E323" s="46" t="s">
        <v>984</v>
      </c>
      <c r="F323" s="35">
        <v>99000</v>
      </c>
      <c r="G323" s="35">
        <v>99000</v>
      </c>
      <c r="H323" s="35">
        <v>0</v>
      </c>
      <c r="I323" s="35">
        <f t="shared" si="59"/>
        <v>99000</v>
      </c>
      <c r="J323" s="36">
        <f t="shared" si="60"/>
        <v>0</v>
      </c>
      <c r="K323" s="48" t="s">
        <v>83</v>
      </c>
      <c r="L323" s="48" t="s">
        <v>83</v>
      </c>
      <c r="M323" s="38">
        <v>42004</v>
      </c>
      <c r="N323" s="48"/>
      <c r="O323" s="35">
        <v>99000</v>
      </c>
      <c r="P323" s="35"/>
      <c r="Q323" s="35"/>
      <c r="R323" s="35"/>
      <c r="S323" s="41"/>
    </row>
    <row r="324" spans="1:19" s="15" customFormat="1" ht="26.25" customHeight="1" x14ac:dyDescent="0.2">
      <c r="A324" s="43" t="s">
        <v>986</v>
      </c>
      <c r="B324" s="46" t="s">
        <v>44</v>
      </c>
      <c r="C324" s="44" t="s">
        <v>991</v>
      </c>
      <c r="D324" s="47" t="s">
        <v>994</v>
      </c>
      <c r="E324" s="46" t="s">
        <v>1000</v>
      </c>
      <c r="F324" s="35">
        <f>10000+10000</f>
        <v>20000</v>
      </c>
      <c r="G324" s="35">
        <v>25000</v>
      </c>
      <c r="H324" s="35">
        <f>6000+10000+10000</f>
        <v>26000</v>
      </c>
      <c r="I324" s="35">
        <f t="shared" si="59"/>
        <v>51000</v>
      </c>
      <c r="J324" s="36">
        <f t="shared" si="60"/>
        <v>1.04</v>
      </c>
      <c r="K324" s="48" t="s">
        <v>83</v>
      </c>
      <c r="L324" s="48" t="s">
        <v>83</v>
      </c>
      <c r="M324" s="38">
        <v>41820</v>
      </c>
      <c r="N324" s="48" t="s">
        <v>86</v>
      </c>
      <c r="O324" s="35">
        <v>10000</v>
      </c>
      <c r="P324" s="35">
        <v>10000</v>
      </c>
      <c r="Q324" s="35"/>
      <c r="R324" s="35"/>
      <c r="S324" s="41"/>
    </row>
    <row r="325" spans="1:19" s="15" customFormat="1" ht="26.25" customHeight="1" x14ac:dyDescent="0.2">
      <c r="A325" s="43" t="s">
        <v>987</v>
      </c>
      <c r="B325" s="46" t="s">
        <v>41</v>
      </c>
      <c r="C325" s="44" t="s">
        <v>735</v>
      </c>
      <c r="D325" s="47">
        <v>8324</v>
      </c>
      <c r="E325" s="46" t="s">
        <v>999</v>
      </c>
      <c r="F325" s="35">
        <v>19629</v>
      </c>
      <c r="G325" s="35">
        <v>19629</v>
      </c>
      <c r="H325" s="35">
        <v>0</v>
      </c>
      <c r="I325" s="35">
        <f t="shared" si="59"/>
        <v>19629</v>
      </c>
      <c r="J325" s="36">
        <f t="shared" si="60"/>
        <v>0</v>
      </c>
      <c r="K325" s="48" t="s">
        <v>83</v>
      </c>
      <c r="L325" s="48" t="s">
        <v>85</v>
      </c>
      <c r="M325" s="38">
        <v>41820</v>
      </c>
      <c r="N325" s="48"/>
      <c r="O325" s="35">
        <v>19629</v>
      </c>
      <c r="P325" s="35"/>
      <c r="Q325" s="35"/>
      <c r="R325" s="35"/>
      <c r="S325" s="41"/>
    </row>
    <row r="326" spans="1:19" s="15" customFormat="1" ht="26.25" customHeight="1" x14ac:dyDescent="0.2">
      <c r="A326" s="43" t="s">
        <v>988</v>
      </c>
      <c r="B326" s="46" t="s">
        <v>940</v>
      </c>
      <c r="C326" s="44" t="s">
        <v>992</v>
      </c>
      <c r="D326" s="47">
        <v>8325</v>
      </c>
      <c r="E326" s="46" t="s">
        <v>998</v>
      </c>
      <c r="F326" s="35">
        <v>31800</v>
      </c>
      <c r="G326" s="35">
        <v>31800</v>
      </c>
      <c r="H326" s="35">
        <v>0</v>
      </c>
      <c r="I326" s="35">
        <f t="shared" si="59"/>
        <v>31800</v>
      </c>
      <c r="J326" s="36">
        <f t="shared" si="60"/>
        <v>0</v>
      </c>
      <c r="K326" s="48" t="s">
        <v>83</v>
      </c>
      <c r="L326" s="48" t="s">
        <v>83</v>
      </c>
      <c r="M326" s="38">
        <v>42094</v>
      </c>
      <c r="N326" s="48"/>
      <c r="O326" s="35">
        <v>31800</v>
      </c>
      <c r="P326" s="35"/>
      <c r="Q326" s="35"/>
      <c r="R326" s="35"/>
      <c r="S326" s="41"/>
    </row>
    <row r="327" spans="1:19" s="15" customFormat="1" ht="26.25" customHeight="1" x14ac:dyDescent="0.2">
      <c r="A327" s="43" t="s">
        <v>989</v>
      </c>
      <c r="B327" s="46" t="s">
        <v>40</v>
      </c>
      <c r="C327" s="44" t="s">
        <v>993</v>
      </c>
      <c r="D327" s="47">
        <v>8332</v>
      </c>
      <c r="E327" s="46" t="s">
        <v>997</v>
      </c>
      <c r="F327" s="35">
        <v>20000</v>
      </c>
      <c r="G327" s="35">
        <v>20000</v>
      </c>
      <c r="H327" s="35">
        <v>0</v>
      </c>
      <c r="I327" s="35">
        <f t="shared" si="59"/>
        <v>20000</v>
      </c>
      <c r="J327" s="36">
        <f t="shared" si="60"/>
        <v>0</v>
      </c>
      <c r="K327" s="48" t="s">
        <v>83</v>
      </c>
      <c r="L327" s="48" t="s">
        <v>83</v>
      </c>
      <c r="M327" s="38">
        <v>41820</v>
      </c>
      <c r="N327" s="48"/>
      <c r="O327" s="35">
        <v>20000</v>
      </c>
      <c r="P327" s="35"/>
      <c r="Q327" s="35"/>
      <c r="R327" s="35"/>
      <c r="S327" s="41"/>
    </row>
    <row r="328" spans="1:19" s="15" customFormat="1" ht="26.25" customHeight="1" x14ac:dyDescent="0.2">
      <c r="A328" s="43" t="s">
        <v>990</v>
      </c>
      <c r="B328" s="46" t="s">
        <v>39</v>
      </c>
      <c r="C328" s="44" t="s">
        <v>523</v>
      </c>
      <c r="D328" s="47" t="s">
        <v>995</v>
      </c>
      <c r="E328" s="46" t="s">
        <v>996</v>
      </c>
      <c r="F328" s="35">
        <v>9900</v>
      </c>
      <c r="G328" s="35">
        <v>30000</v>
      </c>
      <c r="H328" s="35">
        <v>9900</v>
      </c>
      <c r="I328" s="35">
        <f t="shared" si="59"/>
        <v>39900</v>
      </c>
      <c r="J328" s="36">
        <f t="shared" si="60"/>
        <v>0.33</v>
      </c>
      <c r="K328" s="48" t="s">
        <v>83</v>
      </c>
      <c r="L328" s="48" t="s">
        <v>83</v>
      </c>
      <c r="M328" s="38">
        <v>41820</v>
      </c>
      <c r="N328" s="48" t="s">
        <v>86</v>
      </c>
      <c r="O328" s="35">
        <v>9900</v>
      </c>
      <c r="P328" s="35"/>
      <c r="Q328" s="35"/>
      <c r="R328" s="35"/>
      <c r="S328" s="41"/>
    </row>
    <row r="329" spans="1:19" s="15" customFormat="1" ht="26.25" customHeight="1" x14ac:dyDescent="0.2">
      <c r="A329" s="43" t="s">
        <v>1001</v>
      </c>
      <c r="B329" s="46" t="s">
        <v>1006</v>
      </c>
      <c r="C329" s="44" t="s">
        <v>1007</v>
      </c>
      <c r="D329" s="47" t="s">
        <v>1011</v>
      </c>
      <c r="E329" s="46" t="s">
        <v>1012</v>
      </c>
      <c r="F329" s="35">
        <f>10000*3</f>
        <v>30000</v>
      </c>
      <c r="G329" s="35">
        <f>10000*3</f>
        <v>30000</v>
      </c>
      <c r="H329" s="35">
        <v>0</v>
      </c>
      <c r="I329" s="35">
        <f t="shared" ref="I329:I334" si="61">G329+H329</f>
        <v>30000</v>
      </c>
      <c r="J329" s="36">
        <f t="shared" ref="J329:J334" si="62">IF(G329=0,100%,(I329-G329)/G329)</f>
        <v>0</v>
      </c>
      <c r="K329" s="48" t="s">
        <v>83</v>
      </c>
      <c r="L329" s="48" t="s">
        <v>83</v>
      </c>
      <c r="M329" s="38">
        <v>42136</v>
      </c>
      <c r="N329" s="48" t="s">
        <v>84</v>
      </c>
      <c r="O329" s="35">
        <v>10000</v>
      </c>
      <c r="P329" s="35">
        <v>10000</v>
      </c>
      <c r="Q329" s="35">
        <v>10000</v>
      </c>
      <c r="R329" s="35"/>
      <c r="S329" s="41"/>
    </row>
    <row r="330" spans="1:19" s="15" customFormat="1" ht="26.25" customHeight="1" x14ac:dyDescent="0.2">
      <c r="A330" s="43" t="s">
        <v>1002</v>
      </c>
      <c r="B330" s="46" t="s">
        <v>41</v>
      </c>
      <c r="C330" s="44" t="s">
        <v>731</v>
      </c>
      <c r="D330" s="47">
        <v>8372</v>
      </c>
      <c r="E330" s="46" t="s">
        <v>1016</v>
      </c>
      <c r="F330" s="35">
        <v>18570</v>
      </c>
      <c r="G330" s="35">
        <v>18570</v>
      </c>
      <c r="H330" s="35">
        <v>0</v>
      </c>
      <c r="I330" s="35">
        <f t="shared" si="61"/>
        <v>18570</v>
      </c>
      <c r="J330" s="36">
        <f t="shared" si="62"/>
        <v>0</v>
      </c>
      <c r="K330" s="48" t="s">
        <v>83</v>
      </c>
      <c r="L330" s="48" t="s">
        <v>85</v>
      </c>
      <c r="M330" s="38">
        <v>41820</v>
      </c>
      <c r="N330" s="48"/>
      <c r="O330" s="35">
        <v>18570</v>
      </c>
      <c r="P330" s="35"/>
      <c r="Q330" s="35"/>
      <c r="R330" s="35"/>
      <c r="S330" s="41"/>
    </row>
    <row r="331" spans="1:19" s="15" customFormat="1" ht="26.25" customHeight="1" x14ac:dyDescent="0.2">
      <c r="A331" s="43" t="s">
        <v>1003</v>
      </c>
      <c r="B331" s="46" t="s">
        <v>41</v>
      </c>
      <c r="C331" s="44" t="s">
        <v>1008</v>
      </c>
      <c r="D331" s="47">
        <v>8373</v>
      </c>
      <c r="E331" s="46" t="s">
        <v>1013</v>
      </c>
      <c r="F331" s="35">
        <v>5805</v>
      </c>
      <c r="G331" s="35">
        <v>5805</v>
      </c>
      <c r="H331" s="35">
        <v>0</v>
      </c>
      <c r="I331" s="35">
        <f t="shared" si="61"/>
        <v>5805</v>
      </c>
      <c r="J331" s="36">
        <f t="shared" si="62"/>
        <v>0</v>
      </c>
      <c r="K331" s="48" t="s">
        <v>83</v>
      </c>
      <c r="L331" s="48" t="s">
        <v>85</v>
      </c>
      <c r="M331" s="38">
        <v>41820</v>
      </c>
      <c r="N331" s="48"/>
      <c r="O331" s="35">
        <v>5805</v>
      </c>
      <c r="P331" s="35"/>
      <c r="Q331" s="35"/>
      <c r="R331" s="35"/>
      <c r="S331" s="41"/>
    </row>
    <row r="332" spans="1:19" s="15" customFormat="1" ht="26.25" customHeight="1" x14ac:dyDescent="0.2">
      <c r="A332" s="43" t="s">
        <v>1004</v>
      </c>
      <c r="B332" s="46" t="s">
        <v>41</v>
      </c>
      <c r="C332" s="44" t="s">
        <v>1009</v>
      </c>
      <c r="D332" s="47">
        <v>8377</v>
      </c>
      <c r="E332" s="46" t="s">
        <v>1014</v>
      </c>
      <c r="F332" s="35">
        <v>8440</v>
      </c>
      <c r="G332" s="35">
        <v>8440</v>
      </c>
      <c r="H332" s="35">
        <v>0</v>
      </c>
      <c r="I332" s="35">
        <f t="shared" si="61"/>
        <v>8440</v>
      </c>
      <c r="J332" s="36">
        <f t="shared" si="62"/>
        <v>0</v>
      </c>
      <c r="K332" s="48" t="s">
        <v>83</v>
      </c>
      <c r="L332" s="48" t="s">
        <v>85</v>
      </c>
      <c r="M332" s="38">
        <v>41820</v>
      </c>
      <c r="N332" s="48"/>
      <c r="O332" s="35">
        <v>8440</v>
      </c>
      <c r="P332" s="35"/>
      <c r="Q332" s="35"/>
      <c r="R332" s="35"/>
      <c r="S332" s="41"/>
    </row>
    <row r="333" spans="1:19" s="15" customFormat="1" ht="26.25" customHeight="1" x14ac:dyDescent="0.2">
      <c r="A333" s="43" t="s">
        <v>1005</v>
      </c>
      <c r="B333" s="46" t="s">
        <v>557</v>
      </c>
      <c r="C333" s="44" t="s">
        <v>1010</v>
      </c>
      <c r="D333" s="47" t="s">
        <v>65</v>
      </c>
      <c r="E333" s="46" t="s">
        <v>1015</v>
      </c>
      <c r="F333" s="35">
        <v>38640</v>
      </c>
      <c r="G333" s="35">
        <v>38640</v>
      </c>
      <c r="H333" s="35">
        <v>0</v>
      </c>
      <c r="I333" s="35">
        <f t="shared" si="61"/>
        <v>38640</v>
      </c>
      <c r="J333" s="36">
        <f t="shared" si="62"/>
        <v>0</v>
      </c>
      <c r="K333" s="48" t="s">
        <v>83</v>
      </c>
      <c r="L333" s="48" t="s">
        <v>85</v>
      </c>
      <c r="M333" s="38">
        <v>41831</v>
      </c>
      <c r="N333" s="48"/>
      <c r="O333" s="35">
        <v>38640</v>
      </c>
      <c r="P333" s="35"/>
      <c r="Q333" s="35"/>
      <c r="R333" s="35"/>
      <c r="S333" s="41"/>
    </row>
    <row r="334" spans="1:19" s="15" customFormat="1" ht="26.25" customHeight="1" x14ac:dyDescent="0.2">
      <c r="A334" s="43" t="s">
        <v>1017</v>
      </c>
      <c r="B334" s="46" t="s">
        <v>39</v>
      </c>
      <c r="C334" s="44" t="s">
        <v>1025</v>
      </c>
      <c r="D334" s="47" t="s">
        <v>1028</v>
      </c>
      <c r="E334" s="46" t="s">
        <v>1031</v>
      </c>
      <c r="F334" s="35">
        <v>1017</v>
      </c>
      <c r="G334" s="35">
        <v>4398</v>
      </c>
      <c r="H334" s="35">
        <v>1017</v>
      </c>
      <c r="I334" s="35">
        <f t="shared" si="61"/>
        <v>5415</v>
      </c>
      <c r="J334" s="36">
        <f t="shared" si="62"/>
        <v>0.23124147339699863</v>
      </c>
      <c r="K334" s="48" t="s">
        <v>83</v>
      </c>
      <c r="L334" s="48" t="s">
        <v>83</v>
      </c>
      <c r="M334" s="38">
        <v>41820</v>
      </c>
      <c r="N334" s="48" t="s">
        <v>86</v>
      </c>
      <c r="O334" s="35">
        <v>1017</v>
      </c>
      <c r="P334" s="35"/>
      <c r="Q334" s="35"/>
      <c r="R334" s="35"/>
      <c r="S334" s="41"/>
    </row>
    <row r="335" spans="1:19" s="15" customFormat="1" ht="26.25" customHeight="1" x14ac:dyDescent="0.2">
      <c r="A335" s="43" t="s">
        <v>1018</v>
      </c>
      <c r="B335" s="46" t="s">
        <v>145</v>
      </c>
      <c r="C335" s="44" t="s">
        <v>148</v>
      </c>
      <c r="D335" s="47">
        <v>8425</v>
      </c>
      <c r="E335" s="46" t="s">
        <v>1032</v>
      </c>
      <c r="F335" s="35">
        <v>5500</v>
      </c>
      <c r="G335" s="35">
        <v>5500</v>
      </c>
      <c r="H335" s="35">
        <v>0</v>
      </c>
      <c r="I335" s="35">
        <f t="shared" ref="I335:I340" si="63">G335+H335</f>
        <v>5500</v>
      </c>
      <c r="J335" s="36">
        <f t="shared" ref="J335:J340" si="64">IF(G335=0,100%,(I335-G335)/G335)</f>
        <v>0</v>
      </c>
      <c r="K335" s="48" t="s">
        <v>83</v>
      </c>
      <c r="L335" s="48" t="s">
        <v>83</v>
      </c>
      <c r="M335" s="38">
        <v>41820</v>
      </c>
      <c r="N335" s="48"/>
      <c r="O335" s="35">
        <v>5500</v>
      </c>
      <c r="P335" s="35"/>
      <c r="Q335" s="35"/>
      <c r="R335" s="35"/>
      <c r="S335" s="41"/>
    </row>
    <row r="336" spans="1:19" s="15" customFormat="1" ht="26.25" customHeight="1" x14ac:dyDescent="0.2">
      <c r="A336" s="43" t="s">
        <v>1019</v>
      </c>
      <c r="B336" s="46" t="s">
        <v>46</v>
      </c>
      <c r="C336" s="44" t="s">
        <v>1026</v>
      </c>
      <c r="D336" s="47" t="s">
        <v>1029</v>
      </c>
      <c r="E336" s="46" t="s">
        <v>1033</v>
      </c>
      <c r="F336" s="35">
        <v>3000</v>
      </c>
      <c r="G336" s="35">
        <v>6000</v>
      </c>
      <c r="H336" s="35">
        <v>3000</v>
      </c>
      <c r="I336" s="35">
        <f t="shared" si="63"/>
        <v>9000</v>
      </c>
      <c r="J336" s="36">
        <f t="shared" si="64"/>
        <v>0.5</v>
      </c>
      <c r="K336" s="48" t="s">
        <v>83</v>
      </c>
      <c r="L336" s="48" t="s">
        <v>83</v>
      </c>
      <c r="M336" s="38">
        <v>41820</v>
      </c>
      <c r="N336" s="48" t="s">
        <v>86</v>
      </c>
      <c r="O336" s="35">
        <v>3000</v>
      </c>
      <c r="P336" s="35"/>
      <c r="Q336" s="35"/>
      <c r="R336" s="35"/>
      <c r="S336" s="41"/>
    </row>
    <row r="337" spans="1:19" s="15" customFormat="1" ht="26.25" customHeight="1" x14ac:dyDescent="0.2">
      <c r="A337" s="43" t="s">
        <v>1020</v>
      </c>
      <c r="B337" s="46" t="s">
        <v>39</v>
      </c>
      <c r="C337" s="44" t="s">
        <v>441</v>
      </c>
      <c r="D337" s="47" t="s">
        <v>1030</v>
      </c>
      <c r="E337" s="46" t="s">
        <v>1034</v>
      </c>
      <c r="F337" s="35">
        <v>2443</v>
      </c>
      <c r="G337" s="35">
        <v>6500</v>
      </c>
      <c r="H337" s="35">
        <v>2443</v>
      </c>
      <c r="I337" s="35">
        <f t="shared" si="63"/>
        <v>8943</v>
      </c>
      <c r="J337" s="36">
        <f t="shared" si="64"/>
        <v>0.37584615384615383</v>
      </c>
      <c r="K337" s="48" t="s">
        <v>83</v>
      </c>
      <c r="L337" s="48" t="s">
        <v>83</v>
      </c>
      <c r="M337" s="38">
        <v>41820</v>
      </c>
      <c r="N337" s="48" t="s">
        <v>86</v>
      </c>
      <c r="O337" s="35">
        <v>2443</v>
      </c>
      <c r="P337" s="35"/>
      <c r="Q337" s="35"/>
      <c r="R337" s="35"/>
      <c r="S337" s="41"/>
    </row>
    <row r="338" spans="1:19" s="15" customFormat="1" ht="26.25" customHeight="1" x14ac:dyDescent="0.2">
      <c r="A338" s="43" t="s">
        <v>1021</v>
      </c>
      <c r="B338" s="46" t="s">
        <v>1024</v>
      </c>
      <c r="C338" s="44" t="s">
        <v>1027</v>
      </c>
      <c r="D338" s="47">
        <v>8457</v>
      </c>
      <c r="E338" s="46" t="s">
        <v>1035</v>
      </c>
      <c r="F338" s="35">
        <v>24000</v>
      </c>
      <c r="G338" s="35">
        <v>24000</v>
      </c>
      <c r="H338" s="35">
        <v>0</v>
      </c>
      <c r="I338" s="35">
        <f t="shared" si="63"/>
        <v>24000</v>
      </c>
      <c r="J338" s="36">
        <f t="shared" si="64"/>
        <v>0</v>
      </c>
      <c r="K338" s="48" t="s">
        <v>83</v>
      </c>
      <c r="L338" s="48" t="s">
        <v>85</v>
      </c>
      <c r="M338" s="38">
        <v>42155</v>
      </c>
      <c r="N338" s="48"/>
      <c r="O338" s="35">
        <v>24000</v>
      </c>
      <c r="P338" s="35"/>
      <c r="Q338" s="35"/>
      <c r="R338" s="35"/>
      <c r="S338" s="41"/>
    </row>
    <row r="339" spans="1:19" s="15" customFormat="1" ht="26.25" customHeight="1" x14ac:dyDescent="0.2">
      <c r="A339" s="43" t="s">
        <v>1022</v>
      </c>
      <c r="B339" s="46" t="s">
        <v>46</v>
      </c>
      <c r="C339" s="44" t="s">
        <v>647</v>
      </c>
      <c r="D339" s="47">
        <v>8487</v>
      </c>
      <c r="E339" s="46" t="s">
        <v>1036</v>
      </c>
      <c r="F339" s="35">
        <v>7968</v>
      </c>
      <c r="G339" s="35">
        <v>7968</v>
      </c>
      <c r="H339" s="35">
        <v>0</v>
      </c>
      <c r="I339" s="35">
        <f t="shared" si="63"/>
        <v>7968</v>
      </c>
      <c r="J339" s="36">
        <f t="shared" si="64"/>
        <v>0</v>
      </c>
      <c r="K339" s="48" t="s">
        <v>83</v>
      </c>
      <c r="L339" s="48" t="s">
        <v>83</v>
      </c>
      <c r="M339" s="38">
        <v>41852</v>
      </c>
      <c r="N339" s="48"/>
      <c r="O339" s="35">
        <v>7968</v>
      </c>
      <c r="P339" s="35"/>
      <c r="Q339" s="35"/>
      <c r="R339" s="35"/>
      <c r="S339" s="41"/>
    </row>
    <row r="340" spans="1:19" s="15" customFormat="1" ht="26.25" customHeight="1" x14ac:dyDescent="0.2">
      <c r="A340" s="43" t="s">
        <v>1023</v>
      </c>
      <c r="B340" s="46" t="s">
        <v>46</v>
      </c>
      <c r="C340" s="44" t="s">
        <v>888</v>
      </c>
      <c r="D340" s="47" t="s">
        <v>65</v>
      </c>
      <c r="E340" s="46" t="s">
        <v>1037</v>
      </c>
      <c r="F340" s="35">
        <f>6665*3</f>
        <v>19995</v>
      </c>
      <c r="G340" s="35">
        <f>6665*3</f>
        <v>19995</v>
      </c>
      <c r="H340" s="35">
        <v>0</v>
      </c>
      <c r="I340" s="35">
        <f t="shared" si="63"/>
        <v>19995</v>
      </c>
      <c r="J340" s="36">
        <f t="shared" si="64"/>
        <v>0</v>
      </c>
      <c r="K340" s="48" t="s">
        <v>83</v>
      </c>
      <c r="L340" s="48" t="s">
        <v>83</v>
      </c>
      <c r="M340" s="38">
        <v>41729</v>
      </c>
      <c r="N340" s="48" t="s">
        <v>84</v>
      </c>
      <c r="O340" s="35">
        <v>6665</v>
      </c>
      <c r="P340" s="35">
        <v>6665</v>
      </c>
      <c r="Q340" s="35">
        <v>6665</v>
      </c>
      <c r="R340" s="35"/>
      <c r="S340" s="41"/>
    </row>
    <row r="341" spans="1:19" s="15" customFormat="1" ht="18" customHeight="1" x14ac:dyDescent="0.2">
      <c r="A341" s="43" t="s">
        <v>1038</v>
      </c>
      <c r="B341" s="46" t="s">
        <v>46</v>
      </c>
      <c r="C341" s="44" t="s">
        <v>1044</v>
      </c>
      <c r="D341" s="47">
        <v>8330</v>
      </c>
      <c r="E341" s="46" t="s">
        <v>1048</v>
      </c>
      <c r="F341" s="35">
        <v>7500</v>
      </c>
      <c r="G341" s="35">
        <v>7500</v>
      </c>
      <c r="H341" s="35">
        <v>0</v>
      </c>
      <c r="I341" s="35">
        <f t="shared" ref="I341:I346" si="65">G341+H341</f>
        <v>7500</v>
      </c>
      <c r="J341" s="36">
        <f t="shared" ref="J341:J346" si="66">IF(G341=0,100%,(I341-G341)/G341)</f>
        <v>0</v>
      </c>
      <c r="K341" s="48" t="s">
        <v>83</v>
      </c>
      <c r="L341" s="48" t="s">
        <v>83</v>
      </c>
      <c r="M341" s="38">
        <v>42124</v>
      </c>
      <c r="N341" s="48"/>
      <c r="O341" s="35">
        <v>7500</v>
      </c>
      <c r="P341" s="35"/>
      <c r="Q341" s="35"/>
      <c r="R341" s="35"/>
      <c r="S341" s="41"/>
    </row>
    <row r="342" spans="1:19" s="15" customFormat="1" ht="18" customHeight="1" x14ac:dyDescent="0.2">
      <c r="A342" s="43" t="s">
        <v>1039</v>
      </c>
      <c r="B342" s="46" t="s">
        <v>41</v>
      </c>
      <c r="C342" s="44" t="s">
        <v>524</v>
      </c>
      <c r="D342" s="47">
        <v>8347</v>
      </c>
      <c r="E342" s="46" t="s">
        <v>1049</v>
      </c>
      <c r="F342" s="35">
        <v>8939</v>
      </c>
      <c r="G342" s="35">
        <v>8939</v>
      </c>
      <c r="H342" s="35">
        <v>0</v>
      </c>
      <c r="I342" s="35">
        <f t="shared" si="65"/>
        <v>8939</v>
      </c>
      <c r="J342" s="36">
        <f t="shared" si="66"/>
        <v>0</v>
      </c>
      <c r="K342" s="48" t="s">
        <v>83</v>
      </c>
      <c r="L342" s="48" t="s">
        <v>83</v>
      </c>
      <c r="M342" s="38">
        <v>41820</v>
      </c>
      <c r="N342" s="48"/>
      <c r="O342" s="35">
        <v>8939</v>
      </c>
      <c r="P342" s="35"/>
      <c r="Q342" s="35"/>
      <c r="R342" s="35"/>
      <c r="S342" s="41"/>
    </row>
    <row r="343" spans="1:19" s="15" customFormat="1" ht="18" customHeight="1" x14ac:dyDescent="0.2">
      <c r="A343" s="43" t="s">
        <v>1040</v>
      </c>
      <c r="B343" s="46" t="s">
        <v>94</v>
      </c>
      <c r="C343" s="44" t="s">
        <v>1045</v>
      </c>
      <c r="D343" s="47">
        <v>8446</v>
      </c>
      <c r="E343" s="46" t="s">
        <v>1050</v>
      </c>
      <c r="F343" s="35">
        <f>25000*3</f>
        <v>75000</v>
      </c>
      <c r="G343" s="35">
        <f>25000*3</f>
        <v>75000</v>
      </c>
      <c r="H343" s="35">
        <v>0</v>
      </c>
      <c r="I343" s="35">
        <f t="shared" si="65"/>
        <v>75000</v>
      </c>
      <c r="J343" s="36">
        <f t="shared" si="66"/>
        <v>0</v>
      </c>
      <c r="K343" s="48" t="s">
        <v>83</v>
      </c>
      <c r="L343" s="48" t="s">
        <v>83</v>
      </c>
      <c r="M343" s="38">
        <v>42185</v>
      </c>
      <c r="N343" s="48" t="s">
        <v>84</v>
      </c>
      <c r="O343" s="35">
        <v>25000</v>
      </c>
      <c r="P343" s="35">
        <v>25000</v>
      </c>
      <c r="Q343" s="35">
        <v>25000</v>
      </c>
      <c r="R343" s="35"/>
      <c r="S343" s="41"/>
    </row>
    <row r="344" spans="1:19" s="15" customFormat="1" ht="26.25" customHeight="1" x14ac:dyDescent="0.2">
      <c r="A344" s="43" t="s">
        <v>1041</v>
      </c>
      <c r="B344" s="46" t="s">
        <v>39</v>
      </c>
      <c r="C344" s="44" t="s">
        <v>631</v>
      </c>
      <c r="D344" s="47" t="s">
        <v>1046</v>
      </c>
      <c r="E344" s="46" t="s">
        <v>1051</v>
      </c>
      <c r="F344" s="35">
        <v>1500</v>
      </c>
      <c r="G344" s="35">
        <v>41040</v>
      </c>
      <c r="H344" s="35">
        <v>1500</v>
      </c>
      <c r="I344" s="35">
        <f t="shared" si="65"/>
        <v>42540</v>
      </c>
      <c r="J344" s="36">
        <f t="shared" si="66"/>
        <v>3.6549707602339179E-2</v>
      </c>
      <c r="K344" s="48" t="s">
        <v>83</v>
      </c>
      <c r="L344" s="48" t="s">
        <v>83</v>
      </c>
      <c r="M344" s="38">
        <v>41820</v>
      </c>
      <c r="N344" s="48" t="s">
        <v>86</v>
      </c>
      <c r="O344" s="35">
        <v>1500</v>
      </c>
      <c r="P344" s="35"/>
      <c r="Q344" s="35"/>
      <c r="R344" s="35"/>
      <c r="S344" s="41"/>
    </row>
    <row r="345" spans="1:19" s="15" customFormat="1" ht="18" customHeight="1" x14ac:dyDescent="0.2">
      <c r="A345" s="43" t="s">
        <v>1042</v>
      </c>
      <c r="B345" s="46" t="s">
        <v>940</v>
      </c>
      <c r="C345" s="44" t="s">
        <v>206</v>
      </c>
      <c r="D345" s="47">
        <v>8483</v>
      </c>
      <c r="E345" s="46" t="s">
        <v>1052</v>
      </c>
      <c r="F345" s="35">
        <v>40000</v>
      </c>
      <c r="G345" s="35">
        <v>40000</v>
      </c>
      <c r="H345" s="35">
        <v>0</v>
      </c>
      <c r="I345" s="35">
        <f t="shared" si="65"/>
        <v>40000</v>
      </c>
      <c r="J345" s="36">
        <f t="shared" si="66"/>
        <v>0</v>
      </c>
      <c r="K345" s="48" t="s">
        <v>83</v>
      </c>
      <c r="L345" s="48" t="s">
        <v>83</v>
      </c>
      <c r="M345" s="38">
        <v>42155</v>
      </c>
      <c r="N345" s="48"/>
      <c r="O345" s="35">
        <v>40000</v>
      </c>
      <c r="P345" s="35"/>
      <c r="Q345" s="35"/>
      <c r="R345" s="35"/>
      <c r="S345" s="41"/>
    </row>
    <row r="346" spans="1:19" s="15" customFormat="1" ht="26.25" customHeight="1" x14ac:dyDescent="0.2">
      <c r="A346" s="43" t="s">
        <v>1043</v>
      </c>
      <c r="B346" s="46" t="s">
        <v>145</v>
      </c>
      <c r="C346" s="44" t="s">
        <v>776</v>
      </c>
      <c r="D346" s="47" t="s">
        <v>1047</v>
      </c>
      <c r="E346" s="46" t="s">
        <v>1053</v>
      </c>
      <c r="F346" s="35">
        <v>3600</v>
      </c>
      <c r="G346" s="35">
        <v>20000</v>
      </c>
      <c r="H346" s="35">
        <v>3600</v>
      </c>
      <c r="I346" s="35">
        <f t="shared" si="65"/>
        <v>23600</v>
      </c>
      <c r="J346" s="36">
        <f t="shared" si="66"/>
        <v>0.18</v>
      </c>
      <c r="K346" s="48" t="s">
        <v>83</v>
      </c>
      <c r="L346" s="48" t="s">
        <v>83</v>
      </c>
      <c r="M346" s="38">
        <v>41946</v>
      </c>
      <c r="N346" s="48" t="s">
        <v>86</v>
      </c>
      <c r="O346" s="35">
        <v>3600</v>
      </c>
      <c r="P346" s="35"/>
      <c r="Q346" s="35"/>
      <c r="R346" s="35"/>
      <c r="S346" s="41"/>
    </row>
    <row r="347" spans="1:19" s="15" customFormat="1" ht="26.25" customHeight="1" x14ac:dyDescent="0.2">
      <c r="A347" s="43" t="s">
        <v>1054</v>
      </c>
      <c r="B347" s="46" t="s">
        <v>40</v>
      </c>
      <c r="C347" s="44" t="s">
        <v>1063</v>
      </c>
      <c r="D347" s="47">
        <v>8323</v>
      </c>
      <c r="E347" s="46" t="s">
        <v>1071</v>
      </c>
      <c r="F347" s="35">
        <f>90000*3</f>
        <v>270000</v>
      </c>
      <c r="G347" s="35">
        <f>90000*3</f>
        <v>270000</v>
      </c>
      <c r="H347" s="35">
        <v>0</v>
      </c>
      <c r="I347" s="35">
        <f t="shared" ref="I347:I356" si="67">G347+H347</f>
        <v>270000</v>
      </c>
      <c r="J347" s="36">
        <f t="shared" ref="J347:J356" si="68">IF(G347=0,100%,(I347-G347)/G347)</f>
        <v>0</v>
      </c>
      <c r="K347" s="48" t="s">
        <v>83</v>
      </c>
      <c r="L347" s="48" t="s">
        <v>85</v>
      </c>
      <c r="M347" s="38">
        <v>42185</v>
      </c>
      <c r="N347" s="48" t="s">
        <v>84</v>
      </c>
      <c r="O347" s="35"/>
      <c r="P347" s="35">
        <v>90000</v>
      </c>
      <c r="Q347" s="35">
        <v>90000</v>
      </c>
      <c r="R347" s="35">
        <v>90000</v>
      </c>
      <c r="S347" s="41"/>
    </row>
    <row r="348" spans="1:19" s="15" customFormat="1" ht="26.25" customHeight="1" x14ac:dyDescent="0.2">
      <c r="A348" s="43" t="s">
        <v>1055</v>
      </c>
      <c r="B348" s="46" t="s">
        <v>94</v>
      </c>
      <c r="C348" s="44" t="s">
        <v>1064</v>
      </c>
      <c r="D348" s="47">
        <v>8341</v>
      </c>
      <c r="E348" s="46" t="s">
        <v>1072</v>
      </c>
      <c r="F348" s="35">
        <f>91350*2</f>
        <v>182700</v>
      </c>
      <c r="G348" s="35">
        <f>91350*2</f>
        <v>182700</v>
      </c>
      <c r="H348" s="35">
        <v>0</v>
      </c>
      <c r="I348" s="35">
        <f t="shared" si="67"/>
        <v>182700</v>
      </c>
      <c r="J348" s="36">
        <f t="shared" si="68"/>
        <v>0</v>
      </c>
      <c r="K348" s="48" t="s">
        <v>83</v>
      </c>
      <c r="L348" s="48" t="s">
        <v>83</v>
      </c>
      <c r="M348" s="38">
        <v>42185</v>
      </c>
      <c r="N348" s="48" t="s">
        <v>84</v>
      </c>
      <c r="O348" s="35"/>
      <c r="P348" s="35">
        <v>91350</v>
      </c>
      <c r="Q348" s="35">
        <v>91350</v>
      </c>
      <c r="R348" s="35"/>
      <c r="S348" s="41"/>
    </row>
    <row r="349" spans="1:19" s="15" customFormat="1" ht="26.25" customHeight="1" x14ac:dyDescent="0.2">
      <c r="A349" s="43" t="s">
        <v>1056</v>
      </c>
      <c r="B349" s="46" t="s">
        <v>940</v>
      </c>
      <c r="C349" s="44" t="s">
        <v>320</v>
      </c>
      <c r="D349" s="47">
        <v>8391</v>
      </c>
      <c r="E349" s="46" t="s">
        <v>330</v>
      </c>
      <c r="F349" s="35">
        <v>42075</v>
      </c>
      <c r="G349" s="35">
        <v>86640</v>
      </c>
      <c r="H349" s="35">
        <f>56715+42075</f>
        <v>98790</v>
      </c>
      <c r="I349" s="35">
        <f t="shared" si="67"/>
        <v>185430</v>
      </c>
      <c r="J349" s="36">
        <f t="shared" si="68"/>
        <v>1.1402354570637119</v>
      </c>
      <c r="K349" s="48" t="s">
        <v>83</v>
      </c>
      <c r="L349" s="48" t="s">
        <v>83</v>
      </c>
      <c r="M349" s="38">
        <v>41820</v>
      </c>
      <c r="N349" s="48" t="s">
        <v>86</v>
      </c>
      <c r="O349" s="35">
        <v>42075</v>
      </c>
      <c r="P349" s="35"/>
      <c r="Q349" s="35"/>
      <c r="R349" s="35"/>
      <c r="S349" s="41"/>
    </row>
    <row r="350" spans="1:19" s="15" customFormat="1" ht="26.25" customHeight="1" x14ac:dyDescent="0.2">
      <c r="A350" s="43" t="s">
        <v>1057</v>
      </c>
      <c r="B350" s="46" t="s">
        <v>94</v>
      </c>
      <c r="C350" s="44" t="s">
        <v>1065</v>
      </c>
      <c r="D350" s="47">
        <v>8406</v>
      </c>
      <c r="E350" s="46" t="s">
        <v>1073</v>
      </c>
      <c r="F350" s="35">
        <f>95730*3</f>
        <v>287190</v>
      </c>
      <c r="G350" s="35">
        <f>95730*3</f>
        <v>287190</v>
      </c>
      <c r="H350" s="35">
        <v>0</v>
      </c>
      <c r="I350" s="35">
        <f t="shared" si="67"/>
        <v>287190</v>
      </c>
      <c r="J350" s="36">
        <f t="shared" si="68"/>
        <v>0</v>
      </c>
      <c r="K350" s="48" t="s">
        <v>83</v>
      </c>
      <c r="L350" s="48" t="s">
        <v>83</v>
      </c>
      <c r="M350" s="38">
        <v>42185</v>
      </c>
      <c r="N350" s="48" t="s">
        <v>84</v>
      </c>
      <c r="O350" s="35"/>
      <c r="P350" s="35">
        <v>95730</v>
      </c>
      <c r="Q350" s="35">
        <v>95730</v>
      </c>
      <c r="R350" s="35">
        <v>95730</v>
      </c>
      <c r="S350" s="41"/>
    </row>
    <row r="351" spans="1:19" s="15" customFormat="1" ht="26.25" customHeight="1" x14ac:dyDescent="0.2">
      <c r="A351" s="43" t="s">
        <v>1058</v>
      </c>
      <c r="B351" s="46" t="s">
        <v>94</v>
      </c>
      <c r="C351" s="44" t="s">
        <v>1066</v>
      </c>
      <c r="D351" s="47">
        <v>8408</v>
      </c>
      <c r="E351" s="46" t="s">
        <v>1074</v>
      </c>
      <c r="F351" s="35">
        <f>99000*3</f>
        <v>297000</v>
      </c>
      <c r="G351" s="35">
        <f>99000*3</f>
        <v>297000</v>
      </c>
      <c r="H351" s="35">
        <v>0</v>
      </c>
      <c r="I351" s="35">
        <f t="shared" si="67"/>
        <v>297000</v>
      </c>
      <c r="J351" s="36">
        <f t="shared" si="68"/>
        <v>0</v>
      </c>
      <c r="K351" s="48" t="s">
        <v>83</v>
      </c>
      <c r="L351" s="48" t="s">
        <v>83</v>
      </c>
      <c r="M351" s="38">
        <v>41820</v>
      </c>
      <c r="N351" s="48" t="s">
        <v>84</v>
      </c>
      <c r="O351" s="35">
        <v>99000</v>
      </c>
      <c r="P351" s="35">
        <v>99000</v>
      </c>
      <c r="Q351" s="35">
        <v>99000</v>
      </c>
      <c r="R351" s="35"/>
      <c r="S351" s="41"/>
    </row>
    <row r="352" spans="1:19" s="15" customFormat="1" ht="26.25" customHeight="1" x14ac:dyDescent="0.2">
      <c r="A352" s="43" t="s">
        <v>1059</v>
      </c>
      <c r="B352" s="46" t="s">
        <v>124</v>
      </c>
      <c r="C352" s="44" t="s">
        <v>1067</v>
      </c>
      <c r="D352" s="47">
        <v>8409</v>
      </c>
      <c r="E352" s="46" t="s">
        <v>1075</v>
      </c>
      <c r="F352" s="35">
        <f>99000*3</f>
        <v>297000</v>
      </c>
      <c r="G352" s="35">
        <f>99000*3</f>
        <v>297000</v>
      </c>
      <c r="H352" s="35">
        <v>0</v>
      </c>
      <c r="I352" s="35">
        <f t="shared" si="67"/>
        <v>297000</v>
      </c>
      <c r="J352" s="36">
        <f t="shared" si="68"/>
        <v>0</v>
      </c>
      <c r="K352" s="48" t="s">
        <v>83</v>
      </c>
      <c r="L352" s="48" t="s">
        <v>83</v>
      </c>
      <c r="M352" s="38">
        <v>42185</v>
      </c>
      <c r="N352" s="48" t="s">
        <v>84</v>
      </c>
      <c r="O352" s="35"/>
      <c r="P352" s="35">
        <v>99000</v>
      </c>
      <c r="Q352" s="35">
        <v>99000</v>
      </c>
      <c r="R352" s="35">
        <v>99000</v>
      </c>
      <c r="S352" s="35"/>
    </row>
    <row r="353" spans="1:19" s="15" customFormat="1" ht="26.25" customHeight="1" x14ac:dyDescent="0.2">
      <c r="A353" s="43" t="s">
        <v>1060</v>
      </c>
      <c r="B353" s="46" t="s">
        <v>940</v>
      </c>
      <c r="C353" s="44" t="s">
        <v>1068</v>
      </c>
      <c r="D353" s="47">
        <v>8447</v>
      </c>
      <c r="E353" s="46" t="s">
        <v>1076</v>
      </c>
      <c r="F353" s="35">
        <v>55000</v>
      </c>
      <c r="G353" s="35">
        <v>55000</v>
      </c>
      <c r="H353" s="35">
        <v>0</v>
      </c>
      <c r="I353" s="35">
        <f t="shared" si="67"/>
        <v>55000</v>
      </c>
      <c r="J353" s="36">
        <f t="shared" si="68"/>
        <v>0</v>
      </c>
      <c r="K353" s="48" t="s">
        <v>83</v>
      </c>
      <c r="L353" s="48" t="s">
        <v>83</v>
      </c>
      <c r="M353" s="38">
        <v>42004</v>
      </c>
      <c r="N353" s="48"/>
      <c r="O353" s="35">
        <v>55000</v>
      </c>
      <c r="P353" s="35"/>
      <c r="Q353" s="35"/>
      <c r="R353" s="35"/>
      <c r="S353" s="41"/>
    </row>
    <row r="354" spans="1:19" s="15" customFormat="1" ht="26.25" customHeight="1" x14ac:dyDescent="0.2">
      <c r="A354" s="43" t="s">
        <v>1061</v>
      </c>
      <c r="B354" s="46" t="s">
        <v>94</v>
      </c>
      <c r="C354" s="44" t="s">
        <v>732</v>
      </c>
      <c r="D354" s="47" t="s">
        <v>1070</v>
      </c>
      <c r="E354" s="46" t="s">
        <v>1077</v>
      </c>
      <c r="F354" s="35">
        <v>5000</v>
      </c>
      <c r="G354" s="35">
        <v>49500</v>
      </c>
      <c r="H354" s="35">
        <v>5000</v>
      </c>
      <c r="I354" s="35">
        <f t="shared" si="67"/>
        <v>54500</v>
      </c>
      <c r="J354" s="36">
        <f t="shared" si="68"/>
        <v>0.10101010101010101</v>
      </c>
      <c r="K354" s="48" t="s">
        <v>83</v>
      </c>
      <c r="L354" s="48" t="s">
        <v>83</v>
      </c>
      <c r="M354" s="38">
        <v>42063</v>
      </c>
      <c r="N354" s="48" t="s">
        <v>86</v>
      </c>
      <c r="O354" s="35">
        <v>5000</v>
      </c>
      <c r="P354" s="35"/>
      <c r="Q354" s="35"/>
      <c r="R354" s="35"/>
      <c r="S354" s="41"/>
    </row>
    <row r="355" spans="1:19" s="15" customFormat="1" ht="26.25" customHeight="1" x14ac:dyDescent="0.2">
      <c r="A355" s="43" t="s">
        <v>1062</v>
      </c>
      <c r="B355" s="46" t="s">
        <v>124</v>
      </c>
      <c r="C355" s="44" t="s">
        <v>1069</v>
      </c>
      <c r="D355" s="47" t="s">
        <v>65</v>
      </c>
      <c r="E355" s="46" t="s">
        <v>1078</v>
      </c>
      <c r="F355" s="35">
        <f>99000*3</f>
        <v>297000</v>
      </c>
      <c r="G355" s="35">
        <f>99000*3</f>
        <v>297000</v>
      </c>
      <c r="H355" s="35">
        <v>0</v>
      </c>
      <c r="I355" s="35">
        <f t="shared" si="67"/>
        <v>297000</v>
      </c>
      <c r="J355" s="36">
        <f t="shared" si="68"/>
        <v>0</v>
      </c>
      <c r="K355" s="48" t="s">
        <v>83</v>
      </c>
      <c r="L355" s="48" t="s">
        <v>83</v>
      </c>
      <c r="M355" s="38">
        <v>42551</v>
      </c>
      <c r="N355" s="48" t="s">
        <v>84</v>
      </c>
      <c r="O355" s="35"/>
      <c r="P355" s="35">
        <v>99000</v>
      </c>
      <c r="Q355" s="35">
        <v>99000</v>
      </c>
      <c r="R355" s="35">
        <v>99000</v>
      </c>
      <c r="S355" s="35"/>
    </row>
    <row r="356" spans="1:19" s="15" customFormat="1" ht="26.25" customHeight="1" x14ac:dyDescent="0.2">
      <c r="A356" s="43" t="s">
        <v>1079</v>
      </c>
      <c r="B356" s="46" t="s">
        <v>940</v>
      </c>
      <c r="C356" s="44" t="s">
        <v>161</v>
      </c>
      <c r="D356" s="47">
        <v>8517</v>
      </c>
      <c r="E356" s="46" t="s">
        <v>1082</v>
      </c>
      <c r="F356" s="35">
        <f>33089+35000+38000</f>
        <v>106089</v>
      </c>
      <c r="G356" s="35">
        <f>33089+35000+38000</f>
        <v>106089</v>
      </c>
      <c r="H356" s="35">
        <v>0</v>
      </c>
      <c r="I356" s="35">
        <f t="shared" si="67"/>
        <v>106089</v>
      </c>
      <c r="J356" s="36">
        <f t="shared" si="68"/>
        <v>0</v>
      </c>
      <c r="K356" s="48" t="s">
        <v>83</v>
      </c>
      <c r="L356" s="48" t="s">
        <v>83</v>
      </c>
      <c r="M356" s="38">
        <v>42134</v>
      </c>
      <c r="N356" s="48" t="s">
        <v>84</v>
      </c>
      <c r="O356" s="35">
        <v>33089</v>
      </c>
      <c r="P356" s="35">
        <v>35000</v>
      </c>
      <c r="Q356" s="35">
        <v>38000</v>
      </c>
      <c r="R356" s="35"/>
      <c r="S356" s="41"/>
    </row>
    <row r="357" spans="1:19" s="15" customFormat="1" ht="26.25" customHeight="1" x14ac:dyDescent="0.2">
      <c r="A357" s="43" t="s">
        <v>1080</v>
      </c>
      <c r="B357" s="46" t="s">
        <v>940</v>
      </c>
      <c r="C357" s="44" t="s">
        <v>820</v>
      </c>
      <c r="D357" s="47">
        <v>8565</v>
      </c>
      <c r="E357" s="46" t="s">
        <v>1081</v>
      </c>
      <c r="F357" s="35">
        <v>7280</v>
      </c>
      <c r="G357" s="35">
        <v>29730</v>
      </c>
      <c r="H357" s="35">
        <v>7280</v>
      </c>
      <c r="I357" s="35">
        <f>G357+H357</f>
        <v>37010</v>
      </c>
      <c r="J357" s="36">
        <f>IF(G357=0,100%,(I357-G357)/G357)</f>
        <v>0.24487050117726203</v>
      </c>
      <c r="K357" s="48" t="s">
        <v>83</v>
      </c>
      <c r="L357" s="48" t="s">
        <v>83</v>
      </c>
      <c r="M357" s="38">
        <v>41820</v>
      </c>
      <c r="N357" s="48" t="s">
        <v>86</v>
      </c>
      <c r="O357" s="35">
        <v>7280</v>
      </c>
      <c r="P357" s="35"/>
      <c r="Q357" s="35"/>
      <c r="R357" s="35"/>
      <c r="S357" s="41"/>
    </row>
    <row r="358" spans="1:19" s="15" customFormat="1" ht="26.25" customHeight="1" x14ac:dyDescent="0.2">
      <c r="A358" s="43" t="s">
        <v>1083</v>
      </c>
      <c r="B358" s="46" t="s">
        <v>940</v>
      </c>
      <c r="C358" s="44" t="s">
        <v>1085</v>
      </c>
      <c r="D358" s="47">
        <v>8653</v>
      </c>
      <c r="E358" s="46" t="s">
        <v>1082</v>
      </c>
      <c r="F358" s="35">
        <f>15643+16200+16600</f>
        <v>48443</v>
      </c>
      <c r="G358" s="35">
        <f>15643+16200+16600</f>
        <v>48443</v>
      </c>
      <c r="H358" s="35">
        <v>0</v>
      </c>
      <c r="I358" s="35">
        <f>G358+H358</f>
        <v>48443</v>
      </c>
      <c r="J358" s="36">
        <f>IF(G358=0,100%,(I358-G358)/G358)</f>
        <v>0</v>
      </c>
      <c r="K358" s="48" t="s">
        <v>83</v>
      </c>
      <c r="L358" s="48" t="s">
        <v>83</v>
      </c>
      <c r="M358" s="38">
        <v>42134</v>
      </c>
      <c r="N358" s="48" t="s">
        <v>84</v>
      </c>
      <c r="O358" s="35">
        <v>15643</v>
      </c>
      <c r="P358" s="35">
        <v>16200</v>
      </c>
      <c r="Q358" s="35">
        <v>16600</v>
      </c>
      <c r="R358" s="35"/>
      <c r="S358" s="41"/>
    </row>
    <row r="359" spans="1:19" s="15" customFormat="1" ht="26.25" customHeight="1" x14ac:dyDescent="0.2">
      <c r="A359" s="43" t="s">
        <v>1084</v>
      </c>
      <c r="B359" s="46" t="s">
        <v>940</v>
      </c>
      <c r="C359" s="44" t="s">
        <v>962</v>
      </c>
      <c r="D359" s="47" t="s">
        <v>1086</v>
      </c>
      <c r="E359" s="46" t="s">
        <v>1087</v>
      </c>
      <c r="F359" s="35">
        <v>21000</v>
      </c>
      <c r="G359" s="35">
        <v>28000</v>
      </c>
      <c r="H359" s="35">
        <v>21000</v>
      </c>
      <c r="I359" s="35">
        <f>G359+H359</f>
        <v>49000</v>
      </c>
      <c r="J359" s="36">
        <f>IF(G359=0,100%,(I359-G359)/G359)</f>
        <v>0.75</v>
      </c>
      <c r="K359" s="48" t="s">
        <v>83</v>
      </c>
      <c r="L359" s="48" t="s">
        <v>83</v>
      </c>
      <c r="M359" s="38">
        <v>42004</v>
      </c>
      <c r="N359" s="48" t="s">
        <v>86</v>
      </c>
      <c r="O359" s="35">
        <v>21000</v>
      </c>
      <c r="P359" s="35"/>
      <c r="Q359" s="35"/>
      <c r="R359" s="35"/>
      <c r="S359" s="41"/>
    </row>
    <row r="360" spans="1:19" s="15" customFormat="1" ht="26.25" customHeight="1" x14ac:dyDescent="0.2">
      <c r="A360" s="43"/>
      <c r="B360" s="46"/>
      <c r="C360" s="44"/>
      <c r="D360" s="34"/>
      <c r="E360" s="46"/>
      <c r="F360" s="35"/>
      <c r="G360" s="40"/>
      <c r="H360" s="35"/>
      <c r="I360" s="35"/>
      <c r="J360" s="36"/>
      <c r="K360" s="37"/>
      <c r="L360" s="37"/>
      <c r="M360" s="38"/>
      <c r="N360" s="37"/>
      <c r="O360" s="35"/>
      <c r="P360" s="35"/>
      <c r="Q360" s="35"/>
      <c r="R360" s="35"/>
      <c r="S360" s="41"/>
    </row>
    <row r="361" spans="1:19" s="20" customFormat="1" ht="26.25" customHeight="1" x14ac:dyDescent="0.2">
      <c r="A361" s="14"/>
      <c r="B361" s="27"/>
      <c r="C361" s="33"/>
      <c r="D361" s="33"/>
      <c r="E361" s="11" t="s">
        <v>4</v>
      </c>
      <c r="F361" s="26">
        <f>SUM(F2:F360)</f>
        <v>18803193</v>
      </c>
      <c r="G361" s="26">
        <f>SUM(G2:G360)</f>
        <v>19279840</v>
      </c>
      <c r="H361" s="26">
        <f>SUM(H2:H360)</f>
        <v>4871492</v>
      </c>
      <c r="I361" s="26">
        <f>SUM(I2:I360)</f>
        <v>24151332</v>
      </c>
      <c r="J361" s="16"/>
      <c r="K361" s="17"/>
      <c r="L361" s="17"/>
      <c r="M361" s="18"/>
      <c r="N361" s="17"/>
      <c r="O361" s="26">
        <f>SUM(O2:O360)</f>
        <v>11993363</v>
      </c>
      <c r="P361" s="26">
        <f>SUM(P2:P360)</f>
        <v>3512310</v>
      </c>
      <c r="Q361" s="26">
        <f>SUM(Q2:Q360)</f>
        <v>2888790</v>
      </c>
      <c r="R361" s="26">
        <f>SUM(R2:R360)</f>
        <v>383730</v>
      </c>
      <c r="S361" s="26">
        <f>SUM(S2:S360)</f>
        <v>25000</v>
      </c>
    </row>
    <row r="362" spans="1:19" s="20" customFormat="1" ht="26.25" customHeight="1" x14ac:dyDescent="0.2">
      <c r="A362" s="21"/>
      <c r="B362" s="22"/>
      <c r="C362" s="23"/>
      <c r="D362" s="23"/>
      <c r="E362" s="22"/>
      <c r="F362" s="19"/>
      <c r="G362" s="19"/>
      <c r="H362" s="19"/>
      <c r="J362" s="24"/>
      <c r="K362" s="25"/>
      <c r="L362" s="25"/>
      <c r="N362" s="25"/>
    </row>
    <row r="363" spans="1:19" ht="26.25" customHeight="1" x14ac:dyDescent="0.2">
      <c r="A363" s="30"/>
      <c r="B363" s="31"/>
      <c r="C363" s="4"/>
      <c r="F363" s="19"/>
      <c r="G363" s="19"/>
      <c r="H363" s="19"/>
      <c r="I363" s="20"/>
      <c r="P363" s="28"/>
    </row>
    <row r="364" spans="1:19" x14ac:dyDescent="0.2">
      <c r="C364" s="4"/>
    </row>
    <row r="365" spans="1:19" x14ac:dyDescent="0.2">
      <c r="C365" s="4"/>
      <c r="P365" s="28"/>
    </row>
    <row r="366" spans="1:19" x14ac:dyDescent="0.2">
      <c r="C366" s="4"/>
    </row>
    <row r="367" spans="1:19" x14ac:dyDescent="0.2">
      <c r="C367" s="4"/>
      <c r="G367" s="32"/>
      <c r="P367" s="29"/>
    </row>
    <row r="368" spans="1:19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  <row r="382" spans="3:3" x14ac:dyDescent="0.2">
      <c r="C382" s="4"/>
    </row>
    <row r="383" spans="3:3" x14ac:dyDescent="0.2">
      <c r="C383" s="4"/>
    </row>
    <row r="384" spans="3:3" x14ac:dyDescent="0.2">
      <c r="C384" s="4"/>
    </row>
    <row r="385" spans="3:3" x14ac:dyDescent="0.2">
      <c r="C385" s="4"/>
    </row>
    <row r="386" spans="3:3" x14ac:dyDescent="0.2">
      <c r="C386" s="4"/>
    </row>
    <row r="387" spans="3:3" x14ac:dyDescent="0.2">
      <c r="C387" s="4"/>
    </row>
    <row r="388" spans="3:3" x14ac:dyDescent="0.2">
      <c r="C388" s="4"/>
    </row>
    <row r="389" spans="3:3" x14ac:dyDescent="0.2">
      <c r="C389" s="4"/>
    </row>
    <row r="390" spans="3:3" x14ac:dyDescent="0.2">
      <c r="C390" s="4"/>
    </row>
    <row r="391" spans="3:3" x14ac:dyDescent="0.2">
      <c r="C391" s="4"/>
    </row>
    <row r="392" spans="3:3" x14ac:dyDescent="0.2">
      <c r="C392" s="4"/>
    </row>
    <row r="393" spans="3:3" x14ac:dyDescent="0.2">
      <c r="C393" s="4"/>
    </row>
    <row r="394" spans="3:3" x14ac:dyDescent="0.2">
      <c r="C394" s="4"/>
    </row>
    <row r="395" spans="3:3" x14ac:dyDescent="0.2">
      <c r="C395" s="4"/>
    </row>
    <row r="396" spans="3:3" x14ac:dyDescent="0.2">
      <c r="C396" s="4"/>
    </row>
    <row r="397" spans="3:3" x14ac:dyDescent="0.2">
      <c r="C397" s="4"/>
    </row>
    <row r="398" spans="3:3" x14ac:dyDescent="0.2">
      <c r="C398" s="4"/>
    </row>
    <row r="399" spans="3:3" x14ac:dyDescent="0.2">
      <c r="C399" s="4"/>
    </row>
    <row r="400" spans="3:3" x14ac:dyDescent="0.2">
      <c r="C400" s="4"/>
    </row>
    <row r="401" spans="3:3" x14ac:dyDescent="0.2">
      <c r="C401" s="4"/>
    </row>
    <row r="402" spans="3:3" x14ac:dyDescent="0.2">
      <c r="C402" s="4"/>
    </row>
    <row r="403" spans="3:3" x14ac:dyDescent="0.2">
      <c r="C403" s="4"/>
    </row>
    <row r="404" spans="3:3" x14ac:dyDescent="0.2">
      <c r="C404" s="4"/>
    </row>
    <row r="405" spans="3:3" x14ac:dyDescent="0.2">
      <c r="C405" s="4"/>
    </row>
    <row r="406" spans="3:3" x14ac:dyDescent="0.2">
      <c r="C406" s="4"/>
    </row>
    <row r="407" spans="3:3" x14ac:dyDescent="0.2">
      <c r="C407" s="4"/>
    </row>
    <row r="408" spans="3:3" x14ac:dyDescent="0.2">
      <c r="C408" s="4"/>
    </row>
    <row r="409" spans="3:3" x14ac:dyDescent="0.2">
      <c r="C409" s="4"/>
    </row>
    <row r="410" spans="3:3" x14ac:dyDescent="0.2">
      <c r="C410" s="4"/>
    </row>
    <row r="411" spans="3:3" x14ac:dyDescent="0.2">
      <c r="C411" s="4"/>
    </row>
    <row r="412" spans="3:3" x14ac:dyDescent="0.2">
      <c r="C412" s="4"/>
    </row>
    <row r="413" spans="3:3" x14ac:dyDescent="0.2">
      <c r="C413" s="4"/>
    </row>
    <row r="414" spans="3:3" x14ac:dyDescent="0.2">
      <c r="C414" s="4"/>
    </row>
    <row r="415" spans="3:3" x14ac:dyDescent="0.2">
      <c r="C415" s="4"/>
    </row>
    <row r="416" spans="3:3" x14ac:dyDescent="0.2">
      <c r="C416" s="4"/>
    </row>
    <row r="417" spans="3:3" x14ac:dyDescent="0.2">
      <c r="C417" s="4"/>
    </row>
  </sheetData>
  <phoneticPr fontId="0" type="noConversion"/>
  <printOptions horizontalCentered="1"/>
  <pageMargins left="0.25" right="0.25" top="0.85" bottom="0.25" header="0.26" footer="0.31"/>
  <pageSetup paperSize="5" scale="65" orientation="landscape" r:id="rId1"/>
  <headerFooter alignWithMargins="0">
    <oddHeader>&amp;C&amp;"Arial,Bold"&amp;11 1153 FY2014
SUMMARY REPORT
BY REPORT NUMBER
As of June 30, 2014&amp;RRun Date: &amp;D      &amp;T     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8.7109375" style="12" customWidth="1"/>
    <col min="2" max="2" width="25.7109375" style="2" customWidth="1"/>
    <col min="3" max="3" width="23.42578125" customWidth="1"/>
    <col min="4" max="4" width="12.7109375" style="4" customWidth="1"/>
    <col min="5" max="5" width="58.42578125" style="2" customWidth="1"/>
    <col min="6" max="8" width="11.7109375" style="3" customWidth="1"/>
    <col min="9" max="9" width="11.5703125" customWidth="1"/>
    <col min="10" max="10" width="10.28515625" style="5" customWidth="1"/>
    <col min="11" max="11" width="6.28515625" style="1" customWidth="1"/>
    <col min="12" max="12" width="6.5703125" style="1" customWidth="1"/>
    <col min="13" max="13" width="10.5703125" customWidth="1"/>
    <col min="14" max="14" width="5.7109375" style="1" customWidth="1"/>
    <col min="15" max="15" width="12.42578125" customWidth="1"/>
    <col min="16" max="16" width="11.85546875" customWidth="1"/>
    <col min="17" max="17" width="11" customWidth="1"/>
    <col min="18" max="18" width="9.140625" customWidth="1"/>
    <col min="19" max="19" width="10.140625" customWidth="1"/>
  </cols>
  <sheetData>
    <row r="1" spans="1:19" ht="24" x14ac:dyDescent="0.2">
      <c r="A1" s="13" t="s">
        <v>0</v>
      </c>
      <c r="B1" s="10" t="s">
        <v>6</v>
      </c>
      <c r="C1" s="10" t="s">
        <v>7</v>
      </c>
      <c r="D1" s="10" t="s">
        <v>13</v>
      </c>
      <c r="E1" s="10" t="s">
        <v>8</v>
      </c>
      <c r="F1" s="6" t="s">
        <v>9</v>
      </c>
      <c r="G1" s="6" t="s">
        <v>10</v>
      </c>
      <c r="H1" s="7" t="s">
        <v>1</v>
      </c>
      <c r="I1" s="8" t="s">
        <v>11</v>
      </c>
      <c r="J1" s="9" t="s">
        <v>2</v>
      </c>
      <c r="K1" s="10" t="s">
        <v>15</v>
      </c>
      <c r="L1" s="10" t="s">
        <v>12</v>
      </c>
      <c r="M1" s="8" t="s">
        <v>3</v>
      </c>
      <c r="N1" s="8" t="s">
        <v>5</v>
      </c>
      <c r="O1" s="8" t="s">
        <v>14</v>
      </c>
      <c r="P1" s="8" t="s">
        <v>16</v>
      </c>
      <c r="Q1" s="8" t="s">
        <v>28</v>
      </c>
      <c r="R1" s="8" t="s">
        <v>1090</v>
      </c>
      <c r="S1" s="8" t="s">
        <v>800</v>
      </c>
    </row>
    <row r="2" spans="1:19" ht="26.25" customHeight="1" x14ac:dyDescent="0.2">
      <c r="A2" s="43" t="s">
        <v>193</v>
      </c>
      <c r="B2" s="46" t="s">
        <v>199</v>
      </c>
      <c r="C2" s="44" t="s">
        <v>207</v>
      </c>
      <c r="D2" s="34">
        <v>6925</v>
      </c>
      <c r="E2" s="46" t="s">
        <v>221</v>
      </c>
      <c r="F2" s="35">
        <v>99000</v>
      </c>
      <c r="G2" s="40">
        <v>99000</v>
      </c>
      <c r="H2" s="35">
        <v>0</v>
      </c>
      <c r="I2" s="35">
        <f t="shared" ref="I2:I65" si="0">G2+H2</f>
        <v>99000</v>
      </c>
      <c r="J2" s="36">
        <f t="shared" ref="J2:J65" si="1">IF(G2=0,100%,(I2-G2)/G2)</f>
        <v>0</v>
      </c>
      <c r="K2" s="48" t="s">
        <v>83</v>
      </c>
      <c r="L2" s="48" t="s">
        <v>83</v>
      </c>
      <c r="M2" s="38">
        <v>41820</v>
      </c>
      <c r="N2" s="37"/>
      <c r="O2" s="35">
        <v>99000</v>
      </c>
      <c r="P2" s="35"/>
      <c r="Q2" s="35"/>
      <c r="R2" s="35"/>
      <c r="S2" s="41"/>
    </row>
    <row r="3" spans="1:19" s="15" customFormat="1" ht="26.25" customHeight="1" x14ac:dyDescent="0.2">
      <c r="A3" s="43" t="s">
        <v>27</v>
      </c>
      <c r="B3" s="46" t="s">
        <v>44</v>
      </c>
      <c r="C3" s="44" t="s">
        <v>58</v>
      </c>
      <c r="D3" s="47">
        <v>6470</v>
      </c>
      <c r="E3" s="46" t="s">
        <v>75</v>
      </c>
      <c r="F3" s="35">
        <f>25000*3</f>
        <v>75000</v>
      </c>
      <c r="G3" s="40">
        <f>25000*3</f>
        <v>75000</v>
      </c>
      <c r="H3" s="35">
        <v>0</v>
      </c>
      <c r="I3" s="49">
        <f t="shared" si="0"/>
        <v>75000</v>
      </c>
      <c r="J3" s="51">
        <f t="shared" si="1"/>
        <v>0</v>
      </c>
      <c r="K3" s="48" t="s">
        <v>83</v>
      </c>
      <c r="L3" s="48" t="s">
        <v>83</v>
      </c>
      <c r="M3" s="38">
        <v>41820</v>
      </c>
      <c r="N3" s="48" t="s">
        <v>84</v>
      </c>
      <c r="O3" s="41">
        <v>25000</v>
      </c>
      <c r="P3" s="41">
        <v>25000</v>
      </c>
      <c r="Q3" s="41">
        <v>25000</v>
      </c>
      <c r="R3" s="41"/>
      <c r="S3" s="41"/>
    </row>
    <row r="4" spans="1:19" s="15" customFormat="1" ht="18" customHeight="1" x14ac:dyDescent="0.2">
      <c r="A4" s="43" t="s">
        <v>29</v>
      </c>
      <c r="B4" s="46" t="s">
        <v>44</v>
      </c>
      <c r="C4" s="44" t="s">
        <v>59</v>
      </c>
      <c r="D4" s="47">
        <v>6494</v>
      </c>
      <c r="E4" s="46" t="s">
        <v>77</v>
      </c>
      <c r="F4" s="35">
        <f>10000*3</f>
        <v>30000</v>
      </c>
      <c r="G4" s="40">
        <f>10000*3</f>
        <v>30000</v>
      </c>
      <c r="H4" s="35">
        <v>0</v>
      </c>
      <c r="I4" s="49">
        <f t="shared" si="0"/>
        <v>30000</v>
      </c>
      <c r="J4" s="51">
        <f t="shared" si="1"/>
        <v>0</v>
      </c>
      <c r="K4" s="48" t="s">
        <v>83</v>
      </c>
      <c r="L4" s="48" t="s">
        <v>85</v>
      </c>
      <c r="M4" s="38">
        <v>41820</v>
      </c>
      <c r="N4" s="48" t="s">
        <v>84</v>
      </c>
      <c r="O4" s="41">
        <v>10000</v>
      </c>
      <c r="P4" s="41">
        <v>10000</v>
      </c>
      <c r="Q4" s="41">
        <v>10000</v>
      </c>
      <c r="R4" s="41"/>
      <c r="S4" s="41"/>
    </row>
    <row r="5" spans="1:19" s="15" customFormat="1" ht="26.25" customHeight="1" x14ac:dyDescent="0.2">
      <c r="A5" s="43" t="s">
        <v>142</v>
      </c>
      <c r="B5" s="46" t="s">
        <v>44</v>
      </c>
      <c r="C5" s="44" t="s">
        <v>146</v>
      </c>
      <c r="D5" s="34">
        <v>6876</v>
      </c>
      <c r="E5" s="46" t="s">
        <v>149</v>
      </c>
      <c r="F5" s="35">
        <v>49999</v>
      </c>
      <c r="G5" s="40">
        <v>49999</v>
      </c>
      <c r="H5" s="35">
        <v>0</v>
      </c>
      <c r="I5" s="35">
        <f t="shared" si="0"/>
        <v>49999</v>
      </c>
      <c r="J5" s="36">
        <f t="shared" si="1"/>
        <v>0</v>
      </c>
      <c r="K5" s="48" t="s">
        <v>83</v>
      </c>
      <c r="L5" s="48" t="s">
        <v>85</v>
      </c>
      <c r="M5" s="38">
        <v>41490</v>
      </c>
      <c r="N5" s="37"/>
      <c r="O5" s="41">
        <v>49999</v>
      </c>
      <c r="P5" s="41"/>
      <c r="Q5" s="41"/>
      <c r="R5" s="41"/>
      <c r="S5" s="41"/>
    </row>
    <row r="6" spans="1:19" s="15" customFormat="1" ht="26.25" customHeight="1" x14ac:dyDescent="0.2">
      <c r="A6" s="43" t="s">
        <v>230</v>
      </c>
      <c r="B6" s="46" t="s">
        <v>44</v>
      </c>
      <c r="C6" s="44" t="s">
        <v>235</v>
      </c>
      <c r="D6" s="47">
        <v>6358</v>
      </c>
      <c r="E6" s="46" t="s">
        <v>241</v>
      </c>
      <c r="F6" s="35">
        <v>24000</v>
      </c>
      <c r="G6" s="40">
        <v>24000</v>
      </c>
      <c r="H6" s="35">
        <v>0</v>
      </c>
      <c r="I6" s="35">
        <f t="shared" si="0"/>
        <v>24000</v>
      </c>
      <c r="J6" s="36">
        <f t="shared" si="1"/>
        <v>0</v>
      </c>
      <c r="K6" s="48" t="s">
        <v>83</v>
      </c>
      <c r="L6" s="48" t="s">
        <v>83</v>
      </c>
      <c r="M6" s="38">
        <v>41820</v>
      </c>
      <c r="N6" s="48"/>
      <c r="O6" s="35">
        <v>24000</v>
      </c>
      <c r="P6" s="35"/>
      <c r="Q6" s="35"/>
      <c r="R6" s="35"/>
      <c r="S6" s="41"/>
    </row>
    <row r="7" spans="1:19" s="15" customFormat="1" ht="26.25" customHeight="1" x14ac:dyDescent="0.2">
      <c r="A7" s="43" t="s">
        <v>242</v>
      </c>
      <c r="B7" s="46" t="s">
        <v>44</v>
      </c>
      <c r="C7" s="44" t="s">
        <v>250</v>
      </c>
      <c r="D7" s="34">
        <v>7199</v>
      </c>
      <c r="E7" s="46" t="s">
        <v>257</v>
      </c>
      <c r="F7" s="35">
        <v>41188</v>
      </c>
      <c r="G7" s="40">
        <v>41188</v>
      </c>
      <c r="H7" s="35">
        <v>0</v>
      </c>
      <c r="I7" s="35">
        <f t="shared" si="0"/>
        <v>41188</v>
      </c>
      <c r="J7" s="36">
        <f t="shared" si="1"/>
        <v>0</v>
      </c>
      <c r="K7" s="48" t="s">
        <v>83</v>
      </c>
      <c r="L7" s="48" t="s">
        <v>83</v>
      </c>
      <c r="M7" s="38">
        <v>41912</v>
      </c>
      <c r="N7" s="48"/>
      <c r="O7" s="35">
        <v>41188</v>
      </c>
      <c r="P7" s="35"/>
      <c r="Q7" s="35"/>
      <c r="R7" s="35"/>
      <c r="S7" s="41"/>
    </row>
    <row r="8" spans="1:19" s="15" customFormat="1" ht="26.25" customHeight="1" x14ac:dyDescent="0.2">
      <c r="A8" s="43" t="s">
        <v>243</v>
      </c>
      <c r="B8" s="46" t="s">
        <v>44</v>
      </c>
      <c r="C8" s="44" t="s">
        <v>251</v>
      </c>
      <c r="D8" s="47">
        <v>6487</v>
      </c>
      <c r="E8" s="46" t="s">
        <v>258</v>
      </c>
      <c r="F8" s="35">
        <v>12000</v>
      </c>
      <c r="G8" s="40">
        <v>99000</v>
      </c>
      <c r="H8" s="35">
        <v>12000</v>
      </c>
      <c r="I8" s="35">
        <f t="shared" si="0"/>
        <v>111000</v>
      </c>
      <c r="J8" s="36">
        <f t="shared" si="1"/>
        <v>0.12121212121212122</v>
      </c>
      <c r="K8" s="48" t="s">
        <v>83</v>
      </c>
      <c r="L8" s="48" t="s">
        <v>83</v>
      </c>
      <c r="M8" s="38">
        <v>41759</v>
      </c>
      <c r="N8" s="48" t="s">
        <v>86</v>
      </c>
      <c r="O8" s="35">
        <v>12000</v>
      </c>
      <c r="P8" s="35"/>
      <c r="Q8" s="35"/>
      <c r="R8" s="35"/>
      <c r="S8" s="41"/>
    </row>
    <row r="9" spans="1:19" s="15" customFormat="1" ht="18" customHeight="1" x14ac:dyDescent="0.2">
      <c r="A9" s="43" t="s">
        <v>249</v>
      </c>
      <c r="B9" s="46" t="s">
        <v>44</v>
      </c>
      <c r="C9" s="44" t="s">
        <v>256</v>
      </c>
      <c r="D9" s="34">
        <v>6964</v>
      </c>
      <c r="E9" s="46" t="s">
        <v>264</v>
      </c>
      <c r="F9" s="35">
        <f>49000*3</f>
        <v>147000</v>
      </c>
      <c r="G9" s="40">
        <f>49000*3</f>
        <v>147000</v>
      </c>
      <c r="H9" s="35">
        <v>0</v>
      </c>
      <c r="I9" s="35">
        <f t="shared" si="0"/>
        <v>147000</v>
      </c>
      <c r="J9" s="36">
        <f t="shared" si="1"/>
        <v>0</v>
      </c>
      <c r="K9" s="48" t="s">
        <v>83</v>
      </c>
      <c r="L9" s="48" t="s">
        <v>83</v>
      </c>
      <c r="M9" s="52">
        <v>41912</v>
      </c>
      <c r="N9" s="48" t="s">
        <v>84</v>
      </c>
      <c r="O9" s="35">
        <v>49000</v>
      </c>
      <c r="P9" s="35">
        <v>49000</v>
      </c>
      <c r="Q9" s="35">
        <v>49000</v>
      </c>
      <c r="R9" s="35"/>
      <c r="S9" s="41"/>
    </row>
    <row r="10" spans="1:19" s="15" customFormat="1" ht="26.25" customHeight="1" x14ac:dyDescent="0.2">
      <c r="A10" s="43" t="s">
        <v>773</v>
      </c>
      <c r="B10" s="46" t="s">
        <v>44</v>
      </c>
      <c r="C10" s="44" t="s">
        <v>777</v>
      </c>
      <c r="D10" s="47">
        <v>7839</v>
      </c>
      <c r="E10" s="46" t="s">
        <v>783</v>
      </c>
      <c r="F10" s="35">
        <v>18530</v>
      </c>
      <c r="G10" s="40">
        <v>18530</v>
      </c>
      <c r="H10" s="35">
        <v>0</v>
      </c>
      <c r="I10" s="35">
        <f t="shared" si="0"/>
        <v>18530</v>
      </c>
      <c r="J10" s="36">
        <f t="shared" si="1"/>
        <v>0</v>
      </c>
      <c r="K10" s="48" t="s">
        <v>83</v>
      </c>
      <c r="L10" s="48" t="s">
        <v>83</v>
      </c>
      <c r="M10" s="38">
        <v>41668</v>
      </c>
      <c r="N10" s="48"/>
      <c r="O10" s="35">
        <v>18530</v>
      </c>
      <c r="P10" s="35"/>
      <c r="Q10" s="35"/>
      <c r="R10" s="35"/>
      <c r="S10" s="41"/>
    </row>
    <row r="11" spans="1:19" s="15" customFormat="1" ht="18" customHeight="1" x14ac:dyDescent="0.2">
      <c r="A11" s="43" t="s">
        <v>803</v>
      </c>
      <c r="B11" s="46" t="s">
        <v>44</v>
      </c>
      <c r="C11" s="44" t="s">
        <v>806</v>
      </c>
      <c r="D11" s="47">
        <v>7980</v>
      </c>
      <c r="E11" s="46" t="s">
        <v>809</v>
      </c>
      <c r="F11" s="35">
        <f>7000+7000</f>
        <v>14000</v>
      </c>
      <c r="G11" s="40">
        <v>7000</v>
      </c>
      <c r="H11" s="35">
        <f>7000+7000</f>
        <v>14000</v>
      </c>
      <c r="I11" s="35">
        <f t="shared" si="0"/>
        <v>21000</v>
      </c>
      <c r="J11" s="36">
        <f t="shared" si="1"/>
        <v>2</v>
      </c>
      <c r="K11" s="48" t="s">
        <v>83</v>
      </c>
      <c r="L11" s="48" t="s">
        <v>83</v>
      </c>
      <c r="M11" s="38">
        <v>41820</v>
      </c>
      <c r="N11" s="48" t="s">
        <v>84</v>
      </c>
      <c r="O11" s="35">
        <v>7000</v>
      </c>
      <c r="P11" s="35">
        <v>7000</v>
      </c>
      <c r="Q11" s="35"/>
      <c r="R11" s="35"/>
      <c r="S11" s="41"/>
    </row>
    <row r="12" spans="1:19" s="15" customFormat="1" ht="26.25" customHeight="1" x14ac:dyDescent="0.2">
      <c r="A12" s="43" t="s">
        <v>986</v>
      </c>
      <c r="B12" s="46" t="s">
        <v>44</v>
      </c>
      <c r="C12" s="44" t="s">
        <v>991</v>
      </c>
      <c r="D12" s="47" t="s">
        <v>994</v>
      </c>
      <c r="E12" s="46" t="s">
        <v>1000</v>
      </c>
      <c r="F12" s="35">
        <f>10000+10000</f>
        <v>20000</v>
      </c>
      <c r="G12" s="35">
        <v>25000</v>
      </c>
      <c r="H12" s="35">
        <f>6000+10000+10000</f>
        <v>26000</v>
      </c>
      <c r="I12" s="35">
        <f t="shared" si="0"/>
        <v>51000</v>
      </c>
      <c r="J12" s="36">
        <f t="shared" si="1"/>
        <v>1.04</v>
      </c>
      <c r="K12" s="48" t="s">
        <v>83</v>
      </c>
      <c r="L12" s="48" t="s">
        <v>83</v>
      </c>
      <c r="M12" s="38">
        <v>41820</v>
      </c>
      <c r="N12" s="48" t="s">
        <v>86</v>
      </c>
      <c r="O12" s="35">
        <v>10000</v>
      </c>
      <c r="P12" s="35">
        <v>10000</v>
      </c>
      <c r="Q12" s="35"/>
      <c r="R12" s="35"/>
      <c r="S12" s="41"/>
    </row>
    <row r="13" spans="1:19" s="15" customFormat="1" ht="26.25" customHeight="1" x14ac:dyDescent="0.2">
      <c r="A13" s="43" t="s">
        <v>313</v>
      </c>
      <c r="B13" s="46" t="s">
        <v>316</v>
      </c>
      <c r="C13" s="44" t="s">
        <v>321</v>
      </c>
      <c r="D13" s="34">
        <v>7087</v>
      </c>
      <c r="E13" s="46" t="s">
        <v>328</v>
      </c>
      <c r="F13" s="35">
        <f>94900*2</f>
        <v>189800</v>
      </c>
      <c r="G13" s="35">
        <f>94900*2</f>
        <v>189800</v>
      </c>
      <c r="H13" s="35">
        <v>0</v>
      </c>
      <c r="I13" s="35">
        <f t="shared" si="0"/>
        <v>189800</v>
      </c>
      <c r="J13" s="36">
        <f t="shared" si="1"/>
        <v>0</v>
      </c>
      <c r="K13" s="48" t="s">
        <v>83</v>
      </c>
      <c r="L13" s="48" t="s">
        <v>83</v>
      </c>
      <c r="M13" s="38">
        <v>41820</v>
      </c>
      <c r="N13" s="48" t="s">
        <v>84</v>
      </c>
      <c r="O13" s="35">
        <v>94900</v>
      </c>
      <c r="P13" s="35">
        <v>94900</v>
      </c>
      <c r="Q13" s="35"/>
      <c r="R13" s="35"/>
      <c r="S13" s="41"/>
    </row>
    <row r="14" spans="1:19" s="15" customFormat="1" ht="26.25" customHeight="1" x14ac:dyDescent="0.2">
      <c r="A14" s="43" t="s">
        <v>23</v>
      </c>
      <c r="B14" s="46" t="s">
        <v>41</v>
      </c>
      <c r="C14" s="44" t="s">
        <v>54</v>
      </c>
      <c r="D14" s="34">
        <v>6337</v>
      </c>
      <c r="E14" s="46" t="s">
        <v>72</v>
      </c>
      <c r="F14" s="35">
        <v>18529</v>
      </c>
      <c r="G14" s="40">
        <v>18529</v>
      </c>
      <c r="H14" s="35">
        <v>0</v>
      </c>
      <c r="I14" s="49">
        <f t="shared" si="0"/>
        <v>18529</v>
      </c>
      <c r="J14" s="51">
        <f t="shared" si="1"/>
        <v>0</v>
      </c>
      <c r="K14" s="48" t="s">
        <v>83</v>
      </c>
      <c r="L14" s="48" t="s">
        <v>85</v>
      </c>
      <c r="M14" s="38">
        <v>41455</v>
      </c>
      <c r="N14" s="37"/>
      <c r="O14" s="41">
        <v>18529</v>
      </c>
      <c r="P14" s="41"/>
      <c r="Q14" s="41"/>
      <c r="R14" s="41"/>
      <c r="S14" s="41"/>
    </row>
    <row r="15" spans="1:19" s="15" customFormat="1" ht="26.25" customHeight="1" x14ac:dyDescent="0.2">
      <c r="A15" s="43" t="s">
        <v>93</v>
      </c>
      <c r="B15" s="46" t="s">
        <v>41</v>
      </c>
      <c r="C15" s="44" t="s">
        <v>101</v>
      </c>
      <c r="D15" s="47">
        <v>6800</v>
      </c>
      <c r="E15" s="46" t="s">
        <v>114</v>
      </c>
      <c r="F15" s="49">
        <f>12500*3</f>
        <v>37500</v>
      </c>
      <c r="G15" s="50">
        <f>12500*3</f>
        <v>37500</v>
      </c>
      <c r="H15" s="49">
        <v>0</v>
      </c>
      <c r="I15" s="49">
        <f t="shared" si="0"/>
        <v>37500</v>
      </c>
      <c r="J15" s="51">
        <f t="shared" si="1"/>
        <v>0</v>
      </c>
      <c r="K15" s="48" t="s">
        <v>83</v>
      </c>
      <c r="L15" s="48" t="s">
        <v>83</v>
      </c>
      <c r="M15" s="52">
        <v>41843</v>
      </c>
      <c r="N15" s="48" t="s">
        <v>84</v>
      </c>
      <c r="O15" s="41">
        <v>12500</v>
      </c>
      <c r="P15" s="41">
        <v>12500</v>
      </c>
      <c r="Q15" s="41">
        <v>12500</v>
      </c>
      <c r="R15" s="41"/>
      <c r="S15" s="41"/>
    </row>
    <row r="16" spans="1:19" s="15" customFormat="1" ht="26.25" customHeight="1" x14ac:dyDescent="0.2">
      <c r="A16" s="43" t="s">
        <v>166</v>
      </c>
      <c r="B16" s="46" t="s">
        <v>41</v>
      </c>
      <c r="C16" s="44" t="s">
        <v>173</v>
      </c>
      <c r="D16" s="34">
        <v>6567</v>
      </c>
      <c r="E16" s="46" t="s">
        <v>180</v>
      </c>
      <c r="F16" s="40">
        <f>14750*3</f>
        <v>44250</v>
      </c>
      <c r="G16" s="40">
        <f>14750*3</f>
        <v>44250</v>
      </c>
      <c r="H16" s="35">
        <v>0</v>
      </c>
      <c r="I16" s="35">
        <f t="shared" si="0"/>
        <v>44250</v>
      </c>
      <c r="J16" s="36">
        <f t="shared" si="1"/>
        <v>0</v>
      </c>
      <c r="K16" s="48" t="s">
        <v>83</v>
      </c>
      <c r="L16" s="48" t="s">
        <v>83</v>
      </c>
      <c r="M16" s="38">
        <v>41820</v>
      </c>
      <c r="N16" s="48" t="s">
        <v>84</v>
      </c>
      <c r="O16" s="41">
        <v>14750</v>
      </c>
      <c r="P16" s="41">
        <v>14750</v>
      </c>
      <c r="Q16" s="41">
        <v>14750</v>
      </c>
      <c r="R16" s="41"/>
      <c r="S16" s="41"/>
    </row>
    <row r="17" spans="1:19" s="15" customFormat="1" ht="26.25" customHeight="1" x14ac:dyDescent="0.2">
      <c r="A17" s="43" t="s">
        <v>229</v>
      </c>
      <c r="B17" s="46" t="s">
        <v>41</v>
      </c>
      <c r="C17" s="44" t="s">
        <v>234</v>
      </c>
      <c r="D17" s="34">
        <v>6885</v>
      </c>
      <c r="E17" s="46" t="s">
        <v>238</v>
      </c>
      <c r="F17" s="35">
        <v>10968</v>
      </c>
      <c r="G17" s="40">
        <v>10968</v>
      </c>
      <c r="H17" s="35">
        <v>0</v>
      </c>
      <c r="I17" s="35">
        <f t="shared" si="0"/>
        <v>10968</v>
      </c>
      <c r="J17" s="36">
        <f t="shared" si="1"/>
        <v>0</v>
      </c>
      <c r="K17" s="48" t="s">
        <v>83</v>
      </c>
      <c r="L17" s="48" t="s">
        <v>85</v>
      </c>
      <c r="M17" s="38">
        <v>41820</v>
      </c>
      <c r="N17" s="48"/>
      <c r="O17" s="35">
        <v>10968</v>
      </c>
      <c r="P17" s="35"/>
      <c r="Q17" s="35"/>
      <c r="R17" s="35"/>
      <c r="S17" s="41"/>
    </row>
    <row r="18" spans="1:19" s="15" customFormat="1" ht="26.25" customHeight="1" x14ac:dyDescent="0.2">
      <c r="A18" s="43" t="s">
        <v>245</v>
      </c>
      <c r="B18" s="46" t="s">
        <v>41</v>
      </c>
      <c r="C18" s="44" t="s">
        <v>177</v>
      </c>
      <c r="D18" s="34">
        <v>6859</v>
      </c>
      <c r="E18" s="46" t="s">
        <v>260</v>
      </c>
      <c r="F18" s="35">
        <v>7284</v>
      </c>
      <c r="G18" s="40">
        <v>7284</v>
      </c>
      <c r="H18" s="35">
        <v>0</v>
      </c>
      <c r="I18" s="35">
        <f t="shared" si="0"/>
        <v>7284</v>
      </c>
      <c r="J18" s="36">
        <f t="shared" si="1"/>
        <v>0</v>
      </c>
      <c r="K18" s="48" t="s">
        <v>83</v>
      </c>
      <c r="L18" s="48" t="s">
        <v>85</v>
      </c>
      <c r="M18" s="38">
        <v>41820</v>
      </c>
      <c r="N18" s="48"/>
      <c r="O18" s="35">
        <v>7284</v>
      </c>
      <c r="P18" s="35"/>
      <c r="Q18" s="35"/>
      <c r="R18" s="35"/>
      <c r="S18" s="41"/>
    </row>
    <row r="19" spans="1:19" s="15" customFormat="1" ht="26.25" customHeight="1" x14ac:dyDescent="0.2">
      <c r="A19" s="43" t="s">
        <v>247</v>
      </c>
      <c r="B19" s="46" t="s">
        <v>41</v>
      </c>
      <c r="C19" s="44" t="s">
        <v>254</v>
      </c>
      <c r="D19" s="34">
        <v>6884</v>
      </c>
      <c r="E19" s="46" t="s">
        <v>262</v>
      </c>
      <c r="F19" s="35">
        <v>11516</v>
      </c>
      <c r="G19" s="40">
        <v>11516</v>
      </c>
      <c r="H19" s="35">
        <v>0</v>
      </c>
      <c r="I19" s="35">
        <f t="shared" si="0"/>
        <v>11516</v>
      </c>
      <c r="J19" s="36">
        <f t="shared" si="1"/>
        <v>0</v>
      </c>
      <c r="K19" s="48" t="s">
        <v>83</v>
      </c>
      <c r="L19" s="48" t="s">
        <v>85</v>
      </c>
      <c r="M19" s="38">
        <v>41820</v>
      </c>
      <c r="N19" s="48"/>
      <c r="O19" s="35">
        <v>11516</v>
      </c>
      <c r="P19" s="35"/>
      <c r="Q19" s="35"/>
      <c r="R19" s="35"/>
      <c r="S19" s="41"/>
    </row>
    <row r="20" spans="1:19" s="15" customFormat="1" ht="26.25" customHeight="1" x14ac:dyDescent="0.2">
      <c r="A20" s="43" t="s">
        <v>425</v>
      </c>
      <c r="B20" s="46" t="s">
        <v>41</v>
      </c>
      <c r="C20" s="44" t="s">
        <v>439</v>
      </c>
      <c r="D20" s="34">
        <v>7150</v>
      </c>
      <c r="E20" s="46" t="s">
        <v>444</v>
      </c>
      <c r="F20" s="35">
        <v>6332</v>
      </c>
      <c r="G20" s="40">
        <v>6332</v>
      </c>
      <c r="H20" s="35">
        <v>0</v>
      </c>
      <c r="I20" s="35">
        <f t="shared" si="0"/>
        <v>6332</v>
      </c>
      <c r="J20" s="36">
        <f t="shared" si="1"/>
        <v>0</v>
      </c>
      <c r="K20" s="48" t="s">
        <v>83</v>
      </c>
      <c r="L20" s="48" t="s">
        <v>85</v>
      </c>
      <c r="M20" s="38">
        <v>41820</v>
      </c>
      <c r="N20" s="48"/>
      <c r="O20" s="35">
        <v>6332</v>
      </c>
      <c r="P20" s="35"/>
      <c r="Q20" s="35"/>
      <c r="R20" s="35"/>
      <c r="S20" s="41"/>
    </row>
    <row r="21" spans="1:19" s="15" customFormat="1" ht="38.25" customHeight="1" x14ac:dyDescent="0.2">
      <c r="A21" s="43" t="s">
        <v>451</v>
      </c>
      <c r="B21" s="46" t="s">
        <v>41</v>
      </c>
      <c r="C21" s="44" t="s">
        <v>452</v>
      </c>
      <c r="D21" s="34">
        <v>7271</v>
      </c>
      <c r="E21" s="46" t="s">
        <v>453</v>
      </c>
      <c r="F21" s="35">
        <v>32000</v>
      </c>
      <c r="G21" s="40">
        <v>60000</v>
      </c>
      <c r="H21" s="35">
        <v>32000</v>
      </c>
      <c r="I21" s="35">
        <f t="shared" si="0"/>
        <v>92000</v>
      </c>
      <c r="J21" s="36">
        <f t="shared" si="1"/>
        <v>0.53333333333333333</v>
      </c>
      <c r="K21" s="48" t="s">
        <v>83</v>
      </c>
      <c r="L21" s="48" t="s">
        <v>83</v>
      </c>
      <c r="M21" s="38">
        <v>41629</v>
      </c>
      <c r="N21" s="48" t="s">
        <v>86</v>
      </c>
      <c r="O21" s="35">
        <v>32000</v>
      </c>
      <c r="P21" s="35"/>
      <c r="Q21" s="35"/>
      <c r="R21" s="35"/>
      <c r="S21" s="41"/>
    </row>
    <row r="22" spans="1:19" s="15" customFormat="1" ht="26.25" customHeight="1" x14ac:dyDescent="0.2">
      <c r="A22" s="43" t="s">
        <v>490</v>
      </c>
      <c r="B22" s="46" t="s">
        <v>41</v>
      </c>
      <c r="C22" s="44" t="s">
        <v>54</v>
      </c>
      <c r="D22" s="47">
        <v>7279</v>
      </c>
      <c r="E22" s="46" t="s">
        <v>503</v>
      </c>
      <c r="F22" s="35">
        <v>7071</v>
      </c>
      <c r="G22" s="40">
        <v>7071</v>
      </c>
      <c r="H22" s="35">
        <v>0</v>
      </c>
      <c r="I22" s="35">
        <f t="shared" si="0"/>
        <v>7071</v>
      </c>
      <c r="J22" s="36">
        <f t="shared" si="1"/>
        <v>0</v>
      </c>
      <c r="K22" s="48" t="s">
        <v>83</v>
      </c>
      <c r="L22" s="48" t="s">
        <v>85</v>
      </c>
      <c r="M22" s="38">
        <v>41820</v>
      </c>
      <c r="N22" s="48"/>
      <c r="O22" s="35">
        <v>7071</v>
      </c>
      <c r="P22" s="35"/>
      <c r="Q22" s="35"/>
      <c r="R22" s="35"/>
      <c r="S22" s="41"/>
    </row>
    <row r="23" spans="1:19" s="15" customFormat="1" ht="26.25" customHeight="1" x14ac:dyDescent="0.2">
      <c r="A23" s="43" t="s">
        <v>495</v>
      </c>
      <c r="B23" s="46" t="s">
        <v>41</v>
      </c>
      <c r="C23" s="44" t="s">
        <v>524</v>
      </c>
      <c r="D23" s="34">
        <v>7364</v>
      </c>
      <c r="E23" s="46" t="s">
        <v>508</v>
      </c>
      <c r="F23" s="35">
        <v>7374</v>
      </c>
      <c r="G23" s="40">
        <v>7374</v>
      </c>
      <c r="H23" s="35">
        <v>0</v>
      </c>
      <c r="I23" s="35">
        <f t="shared" si="0"/>
        <v>7374</v>
      </c>
      <c r="J23" s="36">
        <f t="shared" si="1"/>
        <v>0</v>
      </c>
      <c r="K23" s="48" t="s">
        <v>83</v>
      </c>
      <c r="L23" s="48" t="s">
        <v>85</v>
      </c>
      <c r="M23" s="38">
        <v>41926</v>
      </c>
      <c r="N23" s="48"/>
      <c r="O23" s="35">
        <v>7374</v>
      </c>
      <c r="P23" s="35"/>
      <c r="Q23" s="35"/>
      <c r="R23" s="35"/>
      <c r="S23" s="41"/>
    </row>
    <row r="24" spans="1:19" s="15" customFormat="1" ht="26.25" customHeight="1" x14ac:dyDescent="0.2">
      <c r="A24" s="43" t="s">
        <v>534</v>
      </c>
      <c r="B24" s="46" t="s">
        <v>41</v>
      </c>
      <c r="C24" s="44" t="s">
        <v>538</v>
      </c>
      <c r="D24" s="47" t="s">
        <v>539</v>
      </c>
      <c r="E24" s="46" t="s">
        <v>543</v>
      </c>
      <c r="F24" s="35">
        <f>25000*2</f>
        <v>50000</v>
      </c>
      <c r="G24" s="40">
        <v>22330</v>
      </c>
      <c r="H24" s="35">
        <f>25000+25000+25000</f>
        <v>75000</v>
      </c>
      <c r="I24" s="35">
        <f t="shared" si="0"/>
        <v>97330</v>
      </c>
      <c r="J24" s="36">
        <f t="shared" si="1"/>
        <v>3.3587102552619794</v>
      </c>
      <c r="K24" s="48" t="s">
        <v>83</v>
      </c>
      <c r="L24" s="48" t="s">
        <v>83</v>
      </c>
      <c r="M24" s="38">
        <v>41820</v>
      </c>
      <c r="N24" s="48" t="s">
        <v>86</v>
      </c>
      <c r="O24" s="35">
        <v>25000</v>
      </c>
      <c r="P24" s="35">
        <v>25000</v>
      </c>
      <c r="Q24" s="35"/>
      <c r="R24" s="35"/>
      <c r="S24" s="41"/>
    </row>
    <row r="25" spans="1:19" s="15" customFormat="1" ht="26.25" customHeight="1" x14ac:dyDescent="0.2">
      <c r="A25" s="43" t="s">
        <v>547</v>
      </c>
      <c r="B25" s="46" t="s">
        <v>41</v>
      </c>
      <c r="C25" s="44" t="s">
        <v>563</v>
      </c>
      <c r="D25" s="47">
        <v>7424</v>
      </c>
      <c r="E25" s="46" t="s">
        <v>572</v>
      </c>
      <c r="F25" s="35">
        <v>7649</v>
      </c>
      <c r="G25" s="40">
        <v>7649</v>
      </c>
      <c r="H25" s="35">
        <v>0</v>
      </c>
      <c r="I25" s="35">
        <f t="shared" si="0"/>
        <v>7649</v>
      </c>
      <c r="J25" s="36">
        <f t="shared" si="1"/>
        <v>0</v>
      </c>
      <c r="K25" s="48" t="s">
        <v>83</v>
      </c>
      <c r="L25" s="48" t="s">
        <v>85</v>
      </c>
      <c r="M25" s="38">
        <v>41820</v>
      </c>
      <c r="N25" s="48"/>
      <c r="O25" s="35">
        <v>7649</v>
      </c>
      <c r="P25" s="35"/>
      <c r="Q25" s="35"/>
      <c r="R25" s="35"/>
      <c r="S25" s="41"/>
    </row>
    <row r="26" spans="1:19" s="15" customFormat="1" ht="26.25" customHeight="1" x14ac:dyDescent="0.2">
      <c r="A26" s="43" t="s">
        <v>548</v>
      </c>
      <c r="B26" s="46" t="s">
        <v>41</v>
      </c>
      <c r="C26" s="44" t="s">
        <v>54</v>
      </c>
      <c r="D26" s="47">
        <v>7431</v>
      </c>
      <c r="E26" s="46" t="s">
        <v>573</v>
      </c>
      <c r="F26" s="35">
        <v>18529</v>
      </c>
      <c r="G26" s="40">
        <v>18529</v>
      </c>
      <c r="H26" s="35">
        <v>0</v>
      </c>
      <c r="I26" s="35">
        <f t="shared" si="0"/>
        <v>18529</v>
      </c>
      <c r="J26" s="36">
        <f t="shared" si="1"/>
        <v>0</v>
      </c>
      <c r="K26" s="48" t="s">
        <v>83</v>
      </c>
      <c r="L26" s="48" t="s">
        <v>85</v>
      </c>
      <c r="M26" s="38">
        <v>41820</v>
      </c>
      <c r="N26" s="48"/>
      <c r="O26" s="35">
        <v>18529</v>
      </c>
      <c r="P26" s="35"/>
      <c r="Q26" s="35"/>
      <c r="R26" s="35"/>
      <c r="S26" s="41"/>
    </row>
    <row r="27" spans="1:19" s="15" customFormat="1" ht="26.25" customHeight="1" x14ac:dyDescent="0.2">
      <c r="A27" s="43" t="s">
        <v>549</v>
      </c>
      <c r="B27" s="46" t="s">
        <v>41</v>
      </c>
      <c r="C27" s="44" t="s">
        <v>254</v>
      </c>
      <c r="D27" s="47">
        <v>7433</v>
      </c>
      <c r="E27" s="46" t="s">
        <v>574</v>
      </c>
      <c r="F27" s="35">
        <v>10995</v>
      </c>
      <c r="G27" s="40">
        <v>10995</v>
      </c>
      <c r="H27" s="35">
        <v>0</v>
      </c>
      <c r="I27" s="35">
        <f t="shared" si="0"/>
        <v>10995</v>
      </c>
      <c r="J27" s="36">
        <f t="shared" si="1"/>
        <v>0</v>
      </c>
      <c r="K27" s="48" t="s">
        <v>83</v>
      </c>
      <c r="L27" s="48" t="s">
        <v>85</v>
      </c>
      <c r="M27" s="38">
        <v>41820</v>
      </c>
      <c r="N27" s="48"/>
      <c r="O27" s="35">
        <v>10995</v>
      </c>
      <c r="P27" s="35"/>
      <c r="Q27" s="35"/>
      <c r="R27" s="35"/>
      <c r="S27" s="41"/>
    </row>
    <row r="28" spans="1:19" s="15" customFormat="1" ht="26.25" customHeight="1" x14ac:dyDescent="0.2">
      <c r="A28" s="43" t="s">
        <v>550</v>
      </c>
      <c r="B28" s="46" t="s">
        <v>41</v>
      </c>
      <c r="C28" s="44" t="s">
        <v>564</v>
      </c>
      <c r="D28" s="47">
        <v>7436</v>
      </c>
      <c r="E28" s="46" t="s">
        <v>575</v>
      </c>
      <c r="F28" s="35">
        <v>32992</v>
      </c>
      <c r="G28" s="40">
        <v>32992</v>
      </c>
      <c r="H28" s="35">
        <v>0</v>
      </c>
      <c r="I28" s="35">
        <f t="shared" si="0"/>
        <v>32992</v>
      </c>
      <c r="J28" s="36">
        <f t="shared" si="1"/>
        <v>0</v>
      </c>
      <c r="K28" s="48" t="s">
        <v>83</v>
      </c>
      <c r="L28" s="48" t="s">
        <v>85</v>
      </c>
      <c r="M28" s="38">
        <v>41820</v>
      </c>
      <c r="N28" s="48"/>
      <c r="O28" s="35">
        <v>32992</v>
      </c>
      <c r="P28" s="35"/>
      <c r="Q28" s="35"/>
      <c r="R28" s="35"/>
      <c r="S28" s="41"/>
    </row>
    <row r="29" spans="1:19" s="15" customFormat="1" ht="26.25" customHeight="1" x14ac:dyDescent="0.2">
      <c r="A29" s="43" t="s">
        <v>628</v>
      </c>
      <c r="B29" s="43" t="s">
        <v>41</v>
      </c>
      <c r="C29" s="43" t="s">
        <v>54</v>
      </c>
      <c r="D29" s="47">
        <v>7683</v>
      </c>
      <c r="E29" s="46" t="s">
        <v>637</v>
      </c>
      <c r="F29" s="35">
        <v>18529</v>
      </c>
      <c r="G29" s="40">
        <v>18529</v>
      </c>
      <c r="H29" s="35">
        <v>0</v>
      </c>
      <c r="I29" s="35">
        <f t="shared" si="0"/>
        <v>18529</v>
      </c>
      <c r="J29" s="36">
        <f t="shared" si="1"/>
        <v>0</v>
      </c>
      <c r="K29" s="48" t="s">
        <v>83</v>
      </c>
      <c r="L29" s="48" t="s">
        <v>85</v>
      </c>
      <c r="M29" s="38">
        <v>41820</v>
      </c>
      <c r="N29" s="48"/>
      <c r="O29" s="35">
        <v>18529</v>
      </c>
      <c r="P29" s="35"/>
      <c r="Q29" s="35"/>
      <c r="R29" s="35"/>
      <c r="S29" s="41"/>
    </row>
    <row r="30" spans="1:19" s="15" customFormat="1" ht="26.25" customHeight="1" x14ac:dyDescent="0.2">
      <c r="A30" s="43" t="s">
        <v>657</v>
      </c>
      <c r="B30" s="46" t="s">
        <v>41</v>
      </c>
      <c r="C30" s="46" t="s">
        <v>660</v>
      </c>
      <c r="D30" s="47">
        <v>7729</v>
      </c>
      <c r="E30" s="46" t="s">
        <v>666</v>
      </c>
      <c r="F30" s="35">
        <v>32992</v>
      </c>
      <c r="G30" s="40">
        <v>32992</v>
      </c>
      <c r="H30" s="35">
        <v>0</v>
      </c>
      <c r="I30" s="35">
        <f t="shared" si="0"/>
        <v>32992</v>
      </c>
      <c r="J30" s="36">
        <f t="shared" si="1"/>
        <v>0</v>
      </c>
      <c r="K30" s="48" t="s">
        <v>83</v>
      </c>
      <c r="L30" s="48" t="s">
        <v>85</v>
      </c>
      <c r="M30" s="38">
        <v>41820</v>
      </c>
      <c r="N30" s="48"/>
      <c r="O30" s="35">
        <v>32992</v>
      </c>
      <c r="P30" s="35"/>
      <c r="Q30" s="35"/>
      <c r="R30" s="35"/>
      <c r="S30" s="41"/>
    </row>
    <row r="31" spans="1:19" s="15" customFormat="1" ht="26.25" customHeight="1" x14ac:dyDescent="0.2">
      <c r="A31" s="43" t="s">
        <v>659</v>
      </c>
      <c r="B31" s="46" t="s">
        <v>41</v>
      </c>
      <c r="C31" s="46" t="s">
        <v>662</v>
      </c>
      <c r="D31" s="47">
        <v>7761</v>
      </c>
      <c r="E31" s="46" t="s">
        <v>664</v>
      </c>
      <c r="F31" s="35">
        <v>7500</v>
      </c>
      <c r="G31" s="40">
        <v>7500</v>
      </c>
      <c r="H31" s="35">
        <v>0</v>
      </c>
      <c r="I31" s="35">
        <f t="shared" si="0"/>
        <v>7500</v>
      </c>
      <c r="J31" s="36">
        <f t="shared" si="1"/>
        <v>0</v>
      </c>
      <c r="K31" s="48" t="s">
        <v>83</v>
      </c>
      <c r="L31" s="48" t="s">
        <v>83</v>
      </c>
      <c r="M31" s="38">
        <v>41820</v>
      </c>
      <c r="N31" s="48"/>
      <c r="O31" s="35">
        <v>7500</v>
      </c>
      <c r="P31" s="35"/>
      <c r="Q31" s="35"/>
      <c r="R31" s="35"/>
      <c r="S31" s="41"/>
    </row>
    <row r="32" spans="1:19" s="15" customFormat="1" ht="26.25" customHeight="1" x14ac:dyDescent="0.2">
      <c r="A32" s="43" t="s">
        <v>679</v>
      </c>
      <c r="B32" s="46" t="s">
        <v>41</v>
      </c>
      <c r="C32" s="44" t="s">
        <v>254</v>
      </c>
      <c r="D32" s="47">
        <v>7795</v>
      </c>
      <c r="E32" s="46" t="s">
        <v>695</v>
      </c>
      <c r="F32" s="35">
        <v>11516</v>
      </c>
      <c r="G32" s="40">
        <v>11516</v>
      </c>
      <c r="H32" s="35">
        <v>0</v>
      </c>
      <c r="I32" s="35">
        <f t="shared" si="0"/>
        <v>11516</v>
      </c>
      <c r="J32" s="36">
        <f t="shared" si="1"/>
        <v>0</v>
      </c>
      <c r="K32" s="48" t="s">
        <v>83</v>
      </c>
      <c r="L32" s="48" t="s">
        <v>83</v>
      </c>
      <c r="M32" s="38">
        <v>41820</v>
      </c>
      <c r="N32" s="48"/>
      <c r="O32" s="35">
        <v>11516</v>
      </c>
      <c r="P32" s="35"/>
      <c r="Q32" s="35"/>
      <c r="R32" s="35"/>
      <c r="S32" s="41"/>
    </row>
    <row r="33" spans="1:19" s="15" customFormat="1" ht="26.25" customHeight="1" x14ac:dyDescent="0.2">
      <c r="A33" s="43" t="s">
        <v>680</v>
      </c>
      <c r="B33" s="46" t="s">
        <v>41</v>
      </c>
      <c r="C33" s="44" t="s">
        <v>731</v>
      </c>
      <c r="D33" s="47">
        <v>7798</v>
      </c>
      <c r="E33" s="46" t="s">
        <v>696</v>
      </c>
      <c r="F33" s="35">
        <v>14414</v>
      </c>
      <c r="G33" s="40">
        <v>14414</v>
      </c>
      <c r="H33" s="35">
        <v>0</v>
      </c>
      <c r="I33" s="35">
        <f t="shared" si="0"/>
        <v>14414</v>
      </c>
      <c r="J33" s="36">
        <f t="shared" si="1"/>
        <v>0</v>
      </c>
      <c r="K33" s="48" t="s">
        <v>83</v>
      </c>
      <c r="L33" s="48" t="s">
        <v>83</v>
      </c>
      <c r="M33" s="38">
        <v>41820</v>
      </c>
      <c r="N33" s="48"/>
      <c r="O33" s="35">
        <v>14414</v>
      </c>
      <c r="P33" s="35"/>
      <c r="Q33" s="35"/>
      <c r="R33" s="35"/>
      <c r="S33" s="41"/>
    </row>
    <row r="34" spans="1:19" s="15" customFormat="1" ht="26.25" customHeight="1" x14ac:dyDescent="0.2">
      <c r="A34" s="43" t="s">
        <v>717</v>
      </c>
      <c r="B34" s="46" t="s">
        <v>41</v>
      </c>
      <c r="C34" s="44" t="s">
        <v>731</v>
      </c>
      <c r="D34" s="47">
        <v>7831</v>
      </c>
      <c r="E34" s="46" t="s">
        <v>740</v>
      </c>
      <c r="F34" s="35">
        <v>7853</v>
      </c>
      <c r="G34" s="40">
        <v>7853</v>
      </c>
      <c r="H34" s="35">
        <v>0</v>
      </c>
      <c r="I34" s="35">
        <f t="shared" si="0"/>
        <v>7853</v>
      </c>
      <c r="J34" s="36">
        <f t="shared" si="1"/>
        <v>0</v>
      </c>
      <c r="K34" s="48" t="s">
        <v>83</v>
      </c>
      <c r="L34" s="48" t="s">
        <v>85</v>
      </c>
      <c r="M34" s="38">
        <v>41820</v>
      </c>
      <c r="N34" s="48"/>
      <c r="O34" s="35">
        <v>7853</v>
      </c>
      <c r="P34" s="35"/>
      <c r="Q34" s="35"/>
      <c r="R34" s="35"/>
      <c r="S34" s="41"/>
    </row>
    <row r="35" spans="1:19" s="15" customFormat="1" ht="26.25" customHeight="1" x14ac:dyDescent="0.2">
      <c r="A35" s="43" t="s">
        <v>722</v>
      </c>
      <c r="B35" s="46" t="s">
        <v>41</v>
      </c>
      <c r="C35" s="44" t="s">
        <v>735</v>
      </c>
      <c r="D35" s="47">
        <v>7880</v>
      </c>
      <c r="E35" s="46" t="s">
        <v>749</v>
      </c>
      <c r="F35" s="35">
        <v>7429</v>
      </c>
      <c r="G35" s="40">
        <v>7429</v>
      </c>
      <c r="H35" s="35">
        <v>0</v>
      </c>
      <c r="I35" s="35">
        <f t="shared" si="0"/>
        <v>7429</v>
      </c>
      <c r="J35" s="36">
        <f t="shared" si="1"/>
        <v>0</v>
      </c>
      <c r="K35" s="48" t="s">
        <v>83</v>
      </c>
      <c r="L35" s="48" t="s">
        <v>85</v>
      </c>
      <c r="M35" s="38">
        <v>41820</v>
      </c>
      <c r="N35" s="48"/>
      <c r="O35" s="35">
        <v>7429</v>
      </c>
      <c r="P35" s="35"/>
      <c r="Q35" s="35"/>
      <c r="R35" s="35"/>
      <c r="S35" s="41"/>
    </row>
    <row r="36" spans="1:19" s="15" customFormat="1" ht="26.25" customHeight="1" x14ac:dyDescent="0.2">
      <c r="A36" s="43" t="s">
        <v>723</v>
      </c>
      <c r="B36" s="46" t="s">
        <v>41</v>
      </c>
      <c r="C36" s="44" t="s">
        <v>254</v>
      </c>
      <c r="D36" s="47">
        <v>7881</v>
      </c>
      <c r="E36" s="46" t="s">
        <v>744</v>
      </c>
      <c r="F36" s="35">
        <v>10963</v>
      </c>
      <c r="G36" s="40">
        <v>10963</v>
      </c>
      <c r="H36" s="35">
        <v>0</v>
      </c>
      <c r="I36" s="35">
        <f t="shared" si="0"/>
        <v>10963</v>
      </c>
      <c r="J36" s="36">
        <f t="shared" si="1"/>
        <v>0</v>
      </c>
      <c r="K36" s="48" t="s">
        <v>83</v>
      </c>
      <c r="L36" s="48" t="s">
        <v>85</v>
      </c>
      <c r="M36" s="38">
        <v>41820</v>
      </c>
      <c r="N36" s="48"/>
      <c r="O36" s="35">
        <v>10963</v>
      </c>
      <c r="P36" s="35"/>
      <c r="Q36" s="35"/>
      <c r="R36" s="35"/>
      <c r="S36" s="41"/>
    </row>
    <row r="37" spans="1:19" s="15" customFormat="1" ht="26.25" customHeight="1" x14ac:dyDescent="0.2">
      <c r="A37" s="43" t="s">
        <v>726</v>
      </c>
      <c r="B37" s="46" t="s">
        <v>41</v>
      </c>
      <c r="C37" s="44" t="s">
        <v>735</v>
      </c>
      <c r="D37" s="47">
        <v>7887</v>
      </c>
      <c r="E37" s="46" t="s">
        <v>746</v>
      </c>
      <c r="F37" s="35">
        <v>13411</v>
      </c>
      <c r="G37" s="40">
        <v>13411</v>
      </c>
      <c r="H37" s="35">
        <v>0</v>
      </c>
      <c r="I37" s="35">
        <f t="shared" si="0"/>
        <v>13411</v>
      </c>
      <c r="J37" s="36">
        <f t="shared" si="1"/>
        <v>0</v>
      </c>
      <c r="K37" s="48" t="s">
        <v>83</v>
      </c>
      <c r="L37" s="48" t="s">
        <v>85</v>
      </c>
      <c r="M37" s="38">
        <v>41820</v>
      </c>
      <c r="N37" s="48"/>
      <c r="O37" s="35">
        <v>13411</v>
      </c>
      <c r="P37" s="35"/>
      <c r="Q37" s="35"/>
      <c r="R37" s="35"/>
      <c r="S37" s="41"/>
    </row>
    <row r="38" spans="1:19" s="15" customFormat="1" ht="26.25" customHeight="1" x14ac:dyDescent="0.2">
      <c r="A38" s="43" t="s">
        <v>751</v>
      </c>
      <c r="B38" s="46" t="s">
        <v>41</v>
      </c>
      <c r="C38" s="44" t="s">
        <v>538</v>
      </c>
      <c r="D38" s="47" t="s">
        <v>761</v>
      </c>
      <c r="E38" s="46" t="s">
        <v>764</v>
      </c>
      <c r="F38" s="35">
        <v>25000</v>
      </c>
      <c r="G38" s="40">
        <v>22330</v>
      </c>
      <c r="H38" s="35">
        <f>25000+25000+25000</f>
        <v>75000</v>
      </c>
      <c r="I38" s="35">
        <f t="shared" si="0"/>
        <v>97330</v>
      </c>
      <c r="J38" s="36">
        <f t="shared" si="1"/>
        <v>3.3587102552619794</v>
      </c>
      <c r="K38" s="48" t="s">
        <v>83</v>
      </c>
      <c r="L38" s="48" t="s">
        <v>83</v>
      </c>
      <c r="M38" s="38">
        <v>41820</v>
      </c>
      <c r="N38" s="48" t="s">
        <v>86</v>
      </c>
      <c r="O38" s="35">
        <v>25000</v>
      </c>
      <c r="P38" s="35"/>
      <c r="Q38" s="35"/>
      <c r="R38" s="35"/>
      <c r="S38" s="41"/>
    </row>
    <row r="39" spans="1:19" s="15" customFormat="1" ht="26.25" customHeight="1" x14ac:dyDescent="0.2">
      <c r="A39" s="43" t="s">
        <v>834</v>
      </c>
      <c r="B39" s="46" t="s">
        <v>41</v>
      </c>
      <c r="C39" s="44" t="s">
        <v>54</v>
      </c>
      <c r="D39" s="47">
        <v>8049</v>
      </c>
      <c r="E39" s="46" t="s">
        <v>854</v>
      </c>
      <c r="F39" s="35">
        <v>18529</v>
      </c>
      <c r="G39" s="40">
        <v>18529</v>
      </c>
      <c r="H39" s="35">
        <v>0</v>
      </c>
      <c r="I39" s="35">
        <f t="shared" si="0"/>
        <v>18529</v>
      </c>
      <c r="J39" s="36">
        <f t="shared" si="1"/>
        <v>0</v>
      </c>
      <c r="K39" s="48" t="s">
        <v>83</v>
      </c>
      <c r="L39" s="48" t="s">
        <v>85</v>
      </c>
      <c r="M39" s="38">
        <v>41820</v>
      </c>
      <c r="N39" s="48"/>
      <c r="O39" s="35">
        <v>18529</v>
      </c>
      <c r="P39" s="35"/>
      <c r="Q39" s="35"/>
      <c r="R39" s="35"/>
      <c r="S39" s="41"/>
    </row>
    <row r="40" spans="1:19" s="15" customFormat="1" ht="26.25" customHeight="1" x14ac:dyDescent="0.2">
      <c r="A40" s="43" t="s">
        <v>835</v>
      </c>
      <c r="B40" s="46" t="s">
        <v>41</v>
      </c>
      <c r="C40" s="44" t="s">
        <v>254</v>
      </c>
      <c r="D40" s="47">
        <v>8050</v>
      </c>
      <c r="E40" s="46" t="s">
        <v>855</v>
      </c>
      <c r="F40" s="35">
        <v>11516</v>
      </c>
      <c r="G40" s="40">
        <v>11516</v>
      </c>
      <c r="H40" s="35">
        <v>0</v>
      </c>
      <c r="I40" s="35">
        <f t="shared" si="0"/>
        <v>11516</v>
      </c>
      <c r="J40" s="36">
        <f t="shared" si="1"/>
        <v>0</v>
      </c>
      <c r="K40" s="48" t="s">
        <v>83</v>
      </c>
      <c r="L40" s="48" t="s">
        <v>85</v>
      </c>
      <c r="M40" s="38">
        <v>41820</v>
      </c>
      <c r="N40" s="48"/>
      <c r="O40" s="35">
        <v>11516</v>
      </c>
      <c r="P40" s="35"/>
      <c r="Q40" s="35"/>
      <c r="R40" s="35"/>
      <c r="S40" s="41"/>
    </row>
    <row r="41" spans="1:19" s="15" customFormat="1" ht="26.25" customHeight="1" x14ac:dyDescent="0.2">
      <c r="A41" s="43" t="s">
        <v>841</v>
      </c>
      <c r="B41" s="46" t="s">
        <v>41</v>
      </c>
      <c r="C41" s="44" t="s">
        <v>662</v>
      </c>
      <c r="D41" s="47" t="s">
        <v>853</v>
      </c>
      <c r="E41" s="46" t="s">
        <v>664</v>
      </c>
      <c r="F41" s="35">
        <v>12000</v>
      </c>
      <c r="G41" s="40">
        <v>7500</v>
      </c>
      <c r="H41" s="35">
        <v>12000</v>
      </c>
      <c r="I41" s="35">
        <f t="shared" si="0"/>
        <v>19500</v>
      </c>
      <c r="J41" s="36">
        <f t="shared" si="1"/>
        <v>1.6</v>
      </c>
      <c r="K41" s="48" t="s">
        <v>83</v>
      </c>
      <c r="L41" s="48" t="s">
        <v>83</v>
      </c>
      <c r="M41" s="38">
        <v>41820</v>
      </c>
      <c r="N41" s="48" t="s">
        <v>86</v>
      </c>
      <c r="O41" s="35">
        <v>12000</v>
      </c>
      <c r="P41" s="35"/>
      <c r="Q41" s="35"/>
      <c r="R41" s="35"/>
      <c r="S41" s="41"/>
    </row>
    <row r="42" spans="1:19" s="15" customFormat="1" ht="26.25" customHeight="1" x14ac:dyDescent="0.2">
      <c r="A42" s="43" t="s">
        <v>927</v>
      </c>
      <c r="B42" s="46" t="s">
        <v>41</v>
      </c>
      <c r="C42" s="44" t="s">
        <v>538</v>
      </c>
      <c r="D42" s="47">
        <v>8215</v>
      </c>
      <c r="E42" s="46" t="s">
        <v>764</v>
      </c>
      <c r="F42" s="35">
        <v>24500</v>
      </c>
      <c r="G42" s="35">
        <v>22330</v>
      </c>
      <c r="H42" s="35">
        <f>25000+25000+25000+24500</f>
        <v>99500</v>
      </c>
      <c r="I42" s="35">
        <f t="shared" si="0"/>
        <v>121830</v>
      </c>
      <c r="J42" s="36">
        <f t="shared" si="1"/>
        <v>4.4558889386475595</v>
      </c>
      <c r="K42" s="48" t="s">
        <v>83</v>
      </c>
      <c r="L42" s="48" t="s">
        <v>83</v>
      </c>
      <c r="M42" s="38">
        <v>41820</v>
      </c>
      <c r="N42" s="48" t="s">
        <v>86</v>
      </c>
      <c r="O42" s="35">
        <v>24500</v>
      </c>
      <c r="P42" s="35"/>
      <c r="Q42" s="35"/>
      <c r="R42" s="35"/>
      <c r="S42" s="41"/>
    </row>
    <row r="43" spans="1:19" s="15" customFormat="1" ht="26.25" customHeight="1" x14ac:dyDescent="0.2">
      <c r="A43" s="43" t="s">
        <v>937</v>
      </c>
      <c r="B43" s="46" t="s">
        <v>41</v>
      </c>
      <c r="C43" s="44" t="s">
        <v>54</v>
      </c>
      <c r="D43" s="47">
        <v>8240</v>
      </c>
      <c r="E43" s="46" t="s">
        <v>947</v>
      </c>
      <c r="F43" s="35">
        <v>23849</v>
      </c>
      <c r="G43" s="35">
        <v>23849</v>
      </c>
      <c r="H43" s="35">
        <v>0</v>
      </c>
      <c r="I43" s="35">
        <f t="shared" si="0"/>
        <v>23849</v>
      </c>
      <c r="J43" s="36">
        <f t="shared" si="1"/>
        <v>0</v>
      </c>
      <c r="K43" s="48" t="s">
        <v>83</v>
      </c>
      <c r="L43" s="48" t="s">
        <v>85</v>
      </c>
      <c r="M43" s="38">
        <v>41820</v>
      </c>
      <c r="N43" s="48"/>
      <c r="O43" s="35">
        <v>23849</v>
      </c>
      <c r="P43" s="35"/>
      <c r="Q43" s="35"/>
      <c r="R43" s="35"/>
      <c r="S43" s="41"/>
    </row>
    <row r="44" spans="1:19" s="15" customFormat="1" ht="26.25" customHeight="1" x14ac:dyDescent="0.2">
      <c r="A44" s="43" t="s">
        <v>987</v>
      </c>
      <c r="B44" s="46" t="s">
        <v>41</v>
      </c>
      <c r="C44" s="44" t="s">
        <v>735</v>
      </c>
      <c r="D44" s="47">
        <v>8324</v>
      </c>
      <c r="E44" s="46" t="s">
        <v>999</v>
      </c>
      <c r="F44" s="35">
        <v>19629</v>
      </c>
      <c r="G44" s="35">
        <v>19629</v>
      </c>
      <c r="H44" s="35">
        <v>0</v>
      </c>
      <c r="I44" s="35">
        <f t="shared" si="0"/>
        <v>19629</v>
      </c>
      <c r="J44" s="36">
        <f t="shared" si="1"/>
        <v>0</v>
      </c>
      <c r="K44" s="48" t="s">
        <v>83</v>
      </c>
      <c r="L44" s="48" t="s">
        <v>85</v>
      </c>
      <c r="M44" s="38">
        <v>41820</v>
      </c>
      <c r="N44" s="48"/>
      <c r="O44" s="35">
        <v>19629</v>
      </c>
      <c r="P44" s="35"/>
      <c r="Q44" s="35"/>
      <c r="R44" s="35"/>
      <c r="S44" s="41"/>
    </row>
    <row r="45" spans="1:19" s="15" customFormat="1" ht="26.25" customHeight="1" x14ac:dyDescent="0.2">
      <c r="A45" s="43" t="s">
        <v>1002</v>
      </c>
      <c r="B45" s="46" t="s">
        <v>41</v>
      </c>
      <c r="C45" s="44" t="s">
        <v>731</v>
      </c>
      <c r="D45" s="47">
        <v>8372</v>
      </c>
      <c r="E45" s="46" t="s">
        <v>1016</v>
      </c>
      <c r="F45" s="35">
        <v>18570</v>
      </c>
      <c r="G45" s="35">
        <v>18570</v>
      </c>
      <c r="H45" s="35">
        <v>0</v>
      </c>
      <c r="I45" s="35">
        <f t="shared" si="0"/>
        <v>18570</v>
      </c>
      <c r="J45" s="36">
        <f t="shared" si="1"/>
        <v>0</v>
      </c>
      <c r="K45" s="48" t="s">
        <v>83</v>
      </c>
      <c r="L45" s="48" t="s">
        <v>85</v>
      </c>
      <c r="M45" s="38">
        <v>41820</v>
      </c>
      <c r="N45" s="48"/>
      <c r="O45" s="35">
        <v>18570</v>
      </c>
      <c r="P45" s="35"/>
      <c r="Q45" s="35"/>
      <c r="R45" s="35"/>
      <c r="S45" s="41"/>
    </row>
    <row r="46" spans="1:19" s="15" customFormat="1" ht="26.25" customHeight="1" x14ac:dyDescent="0.2">
      <c r="A46" s="43" t="s">
        <v>1003</v>
      </c>
      <c r="B46" s="46" t="s">
        <v>41</v>
      </c>
      <c r="C46" s="44" t="s">
        <v>1008</v>
      </c>
      <c r="D46" s="47">
        <v>8373</v>
      </c>
      <c r="E46" s="46" t="s">
        <v>1013</v>
      </c>
      <c r="F46" s="35">
        <v>5805</v>
      </c>
      <c r="G46" s="35">
        <v>5805</v>
      </c>
      <c r="H46" s="35">
        <v>0</v>
      </c>
      <c r="I46" s="35">
        <f t="shared" si="0"/>
        <v>5805</v>
      </c>
      <c r="J46" s="36">
        <f t="shared" si="1"/>
        <v>0</v>
      </c>
      <c r="K46" s="48" t="s">
        <v>83</v>
      </c>
      <c r="L46" s="48" t="s">
        <v>85</v>
      </c>
      <c r="M46" s="38">
        <v>41820</v>
      </c>
      <c r="N46" s="48"/>
      <c r="O46" s="35">
        <v>5805</v>
      </c>
      <c r="P46" s="35"/>
      <c r="Q46" s="35"/>
      <c r="R46" s="35"/>
      <c r="S46" s="41"/>
    </row>
    <row r="47" spans="1:19" s="15" customFormat="1" ht="26.25" customHeight="1" x14ac:dyDescent="0.2">
      <c r="A47" s="43" t="s">
        <v>1004</v>
      </c>
      <c r="B47" s="46" t="s">
        <v>41</v>
      </c>
      <c r="C47" s="44" t="s">
        <v>1009</v>
      </c>
      <c r="D47" s="47">
        <v>8377</v>
      </c>
      <c r="E47" s="46" t="s">
        <v>1014</v>
      </c>
      <c r="F47" s="35">
        <v>8440</v>
      </c>
      <c r="G47" s="35">
        <v>8440</v>
      </c>
      <c r="H47" s="35">
        <v>0</v>
      </c>
      <c r="I47" s="35">
        <f t="shared" si="0"/>
        <v>8440</v>
      </c>
      <c r="J47" s="36">
        <f t="shared" si="1"/>
        <v>0</v>
      </c>
      <c r="K47" s="48" t="s">
        <v>83</v>
      </c>
      <c r="L47" s="48" t="s">
        <v>85</v>
      </c>
      <c r="M47" s="38">
        <v>41820</v>
      </c>
      <c r="N47" s="48"/>
      <c r="O47" s="35">
        <v>8440</v>
      </c>
      <c r="P47" s="35"/>
      <c r="Q47" s="35"/>
      <c r="R47" s="35"/>
      <c r="S47" s="41"/>
    </row>
    <row r="48" spans="1:19" s="15" customFormat="1" ht="18" customHeight="1" x14ac:dyDescent="0.2">
      <c r="A48" s="43" t="s">
        <v>1039</v>
      </c>
      <c r="B48" s="46" t="s">
        <v>41</v>
      </c>
      <c r="C48" s="44" t="s">
        <v>524</v>
      </c>
      <c r="D48" s="47">
        <v>8347</v>
      </c>
      <c r="E48" s="46" t="s">
        <v>1049</v>
      </c>
      <c r="F48" s="35">
        <v>8939</v>
      </c>
      <c r="G48" s="35">
        <v>8939</v>
      </c>
      <c r="H48" s="35">
        <v>0</v>
      </c>
      <c r="I48" s="35">
        <f t="shared" si="0"/>
        <v>8939</v>
      </c>
      <c r="J48" s="36">
        <f t="shared" si="1"/>
        <v>0</v>
      </c>
      <c r="K48" s="48" t="s">
        <v>83</v>
      </c>
      <c r="L48" s="48" t="s">
        <v>83</v>
      </c>
      <c r="M48" s="38">
        <v>41820</v>
      </c>
      <c r="N48" s="48"/>
      <c r="O48" s="35">
        <v>8939</v>
      </c>
      <c r="P48" s="35"/>
      <c r="Q48" s="35"/>
      <c r="R48" s="35"/>
      <c r="S48" s="41"/>
    </row>
    <row r="49" spans="1:19" s="15" customFormat="1" ht="26.25" customHeight="1" x14ac:dyDescent="0.2">
      <c r="A49" s="43" t="s">
        <v>755</v>
      </c>
      <c r="B49" s="46" t="s">
        <v>757</v>
      </c>
      <c r="C49" s="44" t="s">
        <v>760</v>
      </c>
      <c r="D49" s="47" t="s">
        <v>65</v>
      </c>
      <c r="E49" s="46" t="s">
        <v>768</v>
      </c>
      <c r="F49" s="35">
        <v>98000</v>
      </c>
      <c r="G49" s="40">
        <v>98000</v>
      </c>
      <c r="H49" s="35">
        <v>0</v>
      </c>
      <c r="I49" s="35">
        <f t="shared" si="0"/>
        <v>98000</v>
      </c>
      <c r="J49" s="36">
        <f t="shared" si="1"/>
        <v>0</v>
      </c>
      <c r="K49" s="48" t="s">
        <v>83</v>
      </c>
      <c r="L49" s="48" t="s">
        <v>85</v>
      </c>
      <c r="M49" s="38">
        <v>41820</v>
      </c>
      <c r="N49" s="48"/>
      <c r="O49" s="35">
        <v>98000</v>
      </c>
      <c r="P49" s="35"/>
      <c r="Q49" s="35"/>
      <c r="R49" s="35"/>
      <c r="S49" s="41"/>
    </row>
    <row r="50" spans="1:19" s="15" customFormat="1" ht="26.25" customHeight="1" x14ac:dyDescent="0.2">
      <c r="A50" s="43" t="s">
        <v>20</v>
      </c>
      <c r="B50" s="46" t="s">
        <v>38</v>
      </c>
      <c r="C50" s="44" t="s">
        <v>51</v>
      </c>
      <c r="D50" s="34">
        <v>6293</v>
      </c>
      <c r="E50" s="46" t="s">
        <v>69</v>
      </c>
      <c r="F50" s="35">
        <v>28485</v>
      </c>
      <c r="G50" s="40">
        <v>28485</v>
      </c>
      <c r="H50" s="35">
        <v>0</v>
      </c>
      <c r="I50" s="49">
        <f t="shared" si="0"/>
        <v>28485</v>
      </c>
      <c r="J50" s="51">
        <f t="shared" si="1"/>
        <v>0</v>
      </c>
      <c r="K50" s="48" t="s">
        <v>83</v>
      </c>
      <c r="L50" s="48" t="s">
        <v>83</v>
      </c>
      <c r="M50" s="38">
        <v>41517</v>
      </c>
      <c r="N50" s="37"/>
      <c r="O50" s="41">
        <v>28485</v>
      </c>
      <c r="P50" s="41"/>
      <c r="Q50" s="41"/>
      <c r="R50" s="41"/>
      <c r="S50" s="41"/>
    </row>
    <row r="51" spans="1:19" s="15" customFormat="1" ht="26.25" customHeight="1" x14ac:dyDescent="0.2">
      <c r="A51" s="43" t="s">
        <v>25</v>
      </c>
      <c r="B51" s="46" t="s">
        <v>38</v>
      </c>
      <c r="C51" s="44" t="s">
        <v>56</v>
      </c>
      <c r="D51" s="47">
        <v>6368</v>
      </c>
      <c r="E51" s="46" t="s">
        <v>76</v>
      </c>
      <c r="F51" s="35">
        <v>20000</v>
      </c>
      <c r="G51" s="40">
        <v>20000</v>
      </c>
      <c r="H51" s="35">
        <v>0</v>
      </c>
      <c r="I51" s="49">
        <f t="shared" si="0"/>
        <v>20000</v>
      </c>
      <c r="J51" s="51">
        <f t="shared" si="1"/>
        <v>0</v>
      </c>
      <c r="K51" s="48" t="s">
        <v>83</v>
      </c>
      <c r="L51" s="48" t="s">
        <v>83</v>
      </c>
      <c r="M51" s="38">
        <v>41547</v>
      </c>
      <c r="N51" s="48"/>
      <c r="O51" s="41">
        <v>20000</v>
      </c>
      <c r="P51" s="41"/>
      <c r="Q51" s="41"/>
      <c r="R51" s="41"/>
      <c r="S51" s="41"/>
    </row>
    <row r="52" spans="1:19" s="15" customFormat="1" ht="26.25" customHeight="1" x14ac:dyDescent="0.2">
      <c r="A52" s="43" t="s">
        <v>417</v>
      </c>
      <c r="B52" s="46" t="s">
        <v>38</v>
      </c>
      <c r="C52" s="44" t="s">
        <v>420</v>
      </c>
      <c r="D52" s="34">
        <v>7204</v>
      </c>
      <c r="E52" s="46" t="s">
        <v>416</v>
      </c>
      <c r="F52" s="35">
        <v>10500</v>
      </c>
      <c r="G52" s="40">
        <v>10500</v>
      </c>
      <c r="H52" s="35">
        <v>0</v>
      </c>
      <c r="I52" s="35">
        <f t="shared" si="0"/>
        <v>10500</v>
      </c>
      <c r="J52" s="36">
        <f t="shared" si="1"/>
        <v>0</v>
      </c>
      <c r="K52" s="48" t="s">
        <v>83</v>
      </c>
      <c r="L52" s="48" t="s">
        <v>85</v>
      </c>
      <c r="M52" s="38">
        <v>41497</v>
      </c>
      <c r="N52" s="48"/>
      <c r="O52" s="35">
        <v>10500</v>
      </c>
      <c r="P52" s="35"/>
      <c r="Q52" s="35"/>
      <c r="R52" s="35"/>
      <c r="S52" s="41"/>
    </row>
    <row r="53" spans="1:19" s="15" customFormat="1" ht="26.25" customHeight="1" x14ac:dyDescent="0.2">
      <c r="A53" s="43" t="s">
        <v>418</v>
      </c>
      <c r="B53" s="46" t="s">
        <v>38</v>
      </c>
      <c r="C53" s="44" t="s">
        <v>421</v>
      </c>
      <c r="D53" s="34">
        <v>7208</v>
      </c>
      <c r="E53" s="46" t="s">
        <v>416</v>
      </c>
      <c r="F53" s="35">
        <v>10416</v>
      </c>
      <c r="G53" s="40">
        <v>10416</v>
      </c>
      <c r="H53" s="35">
        <v>0</v>
      </c>
      <c r="I53" s="35">
        <f t="shared" si="0"/>
        <v>10416</v>
      </c>
      <c r="J53" s="36">
        <f t="shared" si="1"/>
        <v>0</v>
      </c>
      <c r="K53" s="48" t="s">
        <v>83</v>
      </c>
      <c r="L53" s="48" t="s">
        <v>85</v>
      </c>
      <c r="M53" s="38">
        <v>41497</v>
      </c>
      <c r="N53" s="48"/>
      <c r="O53" s="35">
        <v>10416</v>
      </c>
      <c r="P53" s="35"/>
      <c r="Q53" s="35"/>
      <c r="R53" s="35"/>
      <c r="S53" s="41"/>
    </row>
    <row r="54" spans="1:19" s="15" customFormat="1" ht="26.25" customHeight="1" x14ac:dyDescent="0.2">
      <c r="A54" s="43" t="s">
        <v>419</v>
      </c>
      <c r="B54" s="46" t="s">
        <v>38</v>
      </c>
      <c r="C54" s="44" t="s">
        <v>422</v>
      </c>
      <c r="D54" s="34">
        <v>7209</v>
      </c>
      <c r="E54" s="46" t="s">
        <v>416</v>
      </c>
      <c r="F54" s="35">
        <v>44100</v>
      </c>
      <c r="G54" s="40">
        <v>44100</v>
      </c>
      <c r="H54" s="35">
        <v>0</v>
      </c>
      <c r="I54" s="35">
        <f t="shared" si="0"/>
        <v>44100</v>
      </c>
      <c r="J54" s="36">
        <f t="shared" si="1"/>
        <v>0</v>
      </c>
      <c r="K54" s="48" t="s">
        <v>83</v>
      </c>
      <c r="L54" s="48" t="s">
        <v>85</v>
      </c>
      <c r="M54" s="38">
        <v>41497</v>
      </c>
      <c r="N54" s="48"/>
      <c r="O54" s="35">
        <v>44100</v>
      </c>
      <c r="P54" s="35"/>
      <c r="Q54" s="35"/>
      <c r="R54" s="35"/>
      <c r="S54" s="41"/>
    </row>
    <row r="55" spans="1:19" s="15" customFormat="1" ht="18" customHeight="1" x14ac:dyDescent="0.2">
      <c r="A55" s="43" t="s">
        <v>545</v>
      </c>
      <c r="B55" s="46" t="s">
        <v>38</v>
      </c>
      <c r="C55" s="44" t="s">
        <v>561</v>
      </c>
      <c r="D55" s="47">
        <v>7322</v>
      </c>
      <c r="E55" s="46" t="s">
        <v>597</v>
      </c>
      <c r="F55" s="35">
        <v>29760</v>
      </c>
      <c r="G55" s="40">
        <v>29760</v>
      </c>
      <c r="H55" s="35">
        <v>0</v>
      </c>
      <c r="I55" s="35">
        <f t="shared" si="0"/>
        <v>29760</v>
      </c>
      <c r="J55" s="36">
        <f t="shared" si="1"/>
        <v>0</v>
      </c>
      <c r="K55" s="48" t="s">
        <v>83</v>
      </c>
      <c r="L55" s="48" t="s">
        <v>83</v>
      </c>
      <c r="M55" s="38">
        <v>41574</v>
      </c>
      <c r="N55" s="48"/>
      <c r="O55" s="35">
        <v>29760</v>
      </c>
      <c r="P55" s="35"/>
      <c r="Q55" s="35"/>
      <c r="R55" s="35"/>
      <c r="S55" s="41"/>
    </row>
    <row r="56" spans="1:19" s="15" customFormat="1" ht="18" customHeight="1" x14ac:dyDescent="0.2">
      <c r="A56" s="43" t="s">
        <v>546</v>
      </c>
      <c r="B56" s="46" t="s">
        <v>38</v>
      </c>
      <c r="C56" s="44" t="s">
        <v>562</v>
      </c>
      <c r="D56" s="47">
        <v>7323</v>
      </c>
      <c r="E56" s="46" t="s">
        <v>597</v>
      </c>
      <c r="F56" s="35">
        <v>13888</v>
      </c>
      <c r="G56" s="40">
        <v>13888</v>
      </c>
      <c r="H56" s="35">
        <v>0</v>
      </c>
      <c r="I56" s="35">
        <f t="shared" si="0"/>
        <v>13888</v>
      </c>
      <c r="J56" s="36">
        <f t="shared" si="1"/>
        <v>0</v>
      </c>
      <c r="K56" s="48" t="s">
        <v>83</v>
      </c>
      <c r="L56" s="48" t="s">
        <v>83</v>
      </c>
      <c r="M56" s="38">
        <v>41574</v>
      </c>
      <c r="N56" s="48"/>
      <c r="O56" s="35">
        <v>13888</v>
      </c>
      <c r="P56" s="35"/>
      <c r="Q56" s="35"/>
      <c r="R56" s="35"/>
      <c r="S56" s="41"/>
    </row>
    <row r="57" spans="1:19" s="15" customFormat="1" ht="26.25" customHeight="1" x14ac:dyDescent="0.2">
      <c r="A57" s="43" t="s">
        <v>553</v>
      </c>
      <c r="B57" s="46" t="s">
        <v>38</v>
      </c>
      <c r="C57" s="44" t="s">
        <v>567</v>
      </c>
      <c r="D57" s="47">
        <v>7457</v>
      </c>
      <c r="E57" s="46" t="s">
        <v>578</v>
      </c>
      <c r="F57" s="35">
        <f>9500*3</f>
        <v>28500</v>
      </c>
      <c r="G57" s="40">
        <f>9500*3</f>
        <v>28500</v>
      </c>
      <c r="H57" s="35">
        <v>0</v>
      </c>
      <c r="I57" s="35">
        <f t="shared" si="0"/>
        <v>28500</v>
      </c>
      <c r="J57" s="36">
        <f t="shared" si="1"/>
        <v>0</v>
      </c>
      <c r="K57" s="48" t="s">
        <v>83</v>
      </c>
      <c r="L57" s="48" t="s">
        <v>83</v>
      </c>
      <c r="M57" s="38">
        <v>41820</v>
      </c>
      <c r="N57" s="48" t="s">
        <v>84</v>
      </c>
      <c r="O57" s="35">
        <v>9500</v>
      </c>
      <c r="P57" s="35">
        <v>9500</v>
      </c>
      <c r="Q57" s="35">
        <v>9500</v>
      </c>
      <c r="R57" s="35"/>
      <c r="S57" s="41"/>
    </row>
    <row r="58" spans="1:19" s="15" customFormat="1" ht="26.25" customHeight="1" x14ac:dyDescent="0.2">
      <c r="A58" s="43" t="s">
        <v>604</v>
      </c>
      <c r="B58" s="46" t="s">
        <v>38</v>
      </c>
      <c r="C58" s="44" t="s">
        <v>610</v>
      </c>
      <c r="D58" s="47">
        <v>7324</v>
      </c>
      <c r="E58" s="46" t="s">
        <v>598</v>
      </c>
      <c r="F58" s="35">
        <v>59520</v>
      </c>
      <c r="G58" s="40">
        <v>59520</v>
      </c>
      <c r="H58" s="35">
        <v>0</v>
      </c>
      <c r="I58" s="35">
        <f t="shared" si="0"/>
        <v>59520</v>
      </c>
      <c r="J58" s="36">
        <f t="shared" si="1"/>
        <v>0</v>
      </c>
      <c r="K58" s="48" t="s">
        <v>83</v>
      </c>
      <c r="L58" s="48" t="s">
        <v>83</v>
      </c>
      <c r="M58" s="38">
        <v>41574</v>
      </c>
      <c r="N58" s="48"/>
      <c r="O58" s="35">
        <v>59520</v>
      </c>
      <c r="P58" s="35"/>
      <c r="Q58" s="35"/>
      <c r="R58" s="35"/>
      <c r="S58" s="41"/>
    </row>
    <row r="59" spans="1:19" s="15" customFormat="1" ht="26.25" customHeight="1" x14ac:dyDescent="0.2">
      <c r="A59" s="43" t="s">
        <v>423</v>
      </c>
      <c r="B59" s="46" t="s">
        <v>430</v>
      </c>
      <c r="C59" s="44" t="s">
        <v>437</v>
      </c>
      <c r="D59" s="34">
        <v>6954</v>
      </c>
      <c r="E59" s="46" t="s">
        <v>431</v>
      </c>
      <c r="F59" s="35">
        <f>15000*3</f>
        <v>45000</v>
      </c>
      <c r="G59" s="40">
        <f>15000*3</f>
        <v>45000</v>
      </c>
      <c r="H59" s="35">
        <v>0</v>
      </c>
      <c r="I59" s="35">
        <f t="shared" si="0"/>
        <v>45000</v>
      </c>
      <c r="J59" s="36">
        <f t="shared" si="1"/>
        <v>0</v>
      </c>
      <c r="K59" s="48" t="s">
        <v>83</v>
      </c>
      <c r="L59" s="48" t="s">
        <v>83</v>
      </c>
      <c r="M59" s="38">
        <v>41820</v>
      </c>
      <c r="N59" s="48" t="s">
        <v>84</v>
      </c>
      <c r="O59" s="35">
        <v>15000</v>
      </c>
      <c r="P59" s="35">
        <v>15000</v>
      </c>
      <c r="Q59" s="35">
        <v>15000</v>
      </c>
      <c r="R59" s="35"/>
      <c r="S59" s="41"/>
    </row>
    <row r="60" spans="1:19" s="15" customFormat="1" ht="26.25" customHeight="1" x14ac:dyDescent="0.2">
      <c r="A60" s="43" t="s">
        <v>532</v>
      </c>
      <c r="B60" s="46" t="s">
        <v>430</v>
      </c>
      <c r="C60" s="44" t="s">
        <v>536</v>
      </c>
      <c r="D60" s="34">
        <v>7397</v>
      </c>
      <c r="E60" s="46" t="s">
        <v>541</v>
      </c>
      <c r="F60" s="35">
        <f>96200*3</f>
        <v>288600</v>
      </c>
      <c r="G60" s="40">
        <f>96200*3</f>
        <v>288600</v>
      </c>
      <c r="H60" s="35">
        <v>0</v>
      </c>
      <c r="I60" s="35">
        <f t="shared" si="0"/>
        <v>288600</v>
      </c>
      <c r="J60" s="36">
        <f t="shared" si="1"/>
        <v>0</v>
      </c>
      <c r="K60" s="48" t="s">
        <v>83</v>
      </c>
      <c r="L60" s="48" t="s">
        <v>83</v>
      </c>
      <c r="M60" s="38">
        <v>41820</v>
      </c>
      <c r="N60" s="48" t="s">
        <v>84</v>
      </c>
      <c r="O60" s="35">
        <v>96200</v>
      </c>
      <c r="P60" s="35">
        <v>96200</v>
      </c>
      <c r="Q60" s="35">
        <v>96200</v>
      </c>
      <c r="R60" s="35"/>
      <c r="S60" s="41"/>
    </row>
    <row r="61" spans="1:19" s="15" customFormat="1" ht="26.25" customHeight="1" x14ac:dyDescent="0.2">
      <c r="A61" s="43" t="s">
        <v>866</v>
      </c>
      <c r="B61" s="46" t="s">
        <v>875</v>
      </c>
      <c r="C61" s="44" t="s">
        <v>876</v>
      </c>
      <c r="D61" s="47" t="s">
        <v>880</v>
      </c>
      <c r="E61" s="46" t="s">
        <v>872</v>
      </c>
      <c r="F61" s="35">
        <f>25000+25000</f>
        <v>50000</v>
      </c>
      <c r="G61" s="35">
        <v>45000</v>
      </c>
      <c r="H61" s="35">
        <f>25000+25000</f>
        <v>50000</v>
      </c>
      <c r="I61" s="35">
        <f t="shared" si="0"/>
        <v>95000</v>
      </c>
      <c r="J61" s="36">
        <f t="shared" si="1"/>
        <v>1.1111111111111112</v>
      </c>
      <c r="K61" s="48" t="s">
        <v>83</v>
      </c>
      <c r="L61" s="48" t="s">
        <v>83</v>
      </c>
      <c r="M61" s="38">
        <v>41820</v>
      </c>
      <c r="N61" s="48" t="s">
        <v>86</v>
      </c>
      <c r="O61" s="35">
        <v>25000</v>
      </c>
      <c r="P61" s="35">
        <v>25000</v>
      </c>
      <c r="Q61" s="35"/>
      <c r="R61" s="35"/>
      <c r="S61" s="41"/>
    </row>
    <row r="62" spans="1:19" s="15" customFormat="1" ht="26.25" customHeight="1" x14ac:dyDescent="0.2">
      <c r="A62" s="43" t="s">
        <v>194</v>
      </c>
      <c r="B62" s="46" t="s">
        <v>200</v>
      </c>
      <c r="C62" s="44" t="s">
        <v>208</v>
      </c>
      <c r="D62" s="34">
        <v>6949</v>
      </c>
      <c r="E62" s="46" t="s">
        <v>222</v>
      </c>
      <c r="F62" s="35">
        <v>50611</v>
      </c>
      <c r="G62" s="40">
        <v>50611</v>
      </c>
      <c r="H62" s="35">
        <v>0</v>
      </c>
      <c r="I62" s="35">
        <f t="shared" si="0"/>
        <v>50611</v>
      </c>
      <c r="J62" s="36">
        <f t="shared" si="1"/>
        <v>0</v>
      </c>
      <c r="K62" s="48" t="s">
        <v>83</v>
      </c>
      <c r="L62" s="48" t="s">
        <v>83</v>
      </c>
      <c r="M62" s="38">
        <v>41820</v>
      </c>
      <c r="N62" s="37"/>
      <c r="O62" s="35">
        <v>50611</v>
      </c>
      <c r="P62" s="35"/>
      <c r="Q62" s="35"/>
      <c r="R62" s="35"/>
      <c r="S62" s="41"/>
    </row>
    <row r="63" spans="1:19" s="15" customFormat="1" ht="26.25" customHeight="1" x14ac:dyDescent="0.2">
      <c r="A63" s="43" t="s">
        <v>26</v>
      </c>
      <c r="B63" s="46" t="s">
        <v>43</v>
      </c>
      <c r="C63" s="44" t="s">
        <v>57</v>
      </c>
      <c r="D63" s="47">
        <v>6421</v>
      </c>
      <c r="E63" s="46" t="s">
        <v>74</v>
      </c>
      <c r="F63" s="35">
        <f>24000*2</f>
        <v>48000</v>
      </c>
      <c r="G63" s="40">
        <f>24000*2</f>
        <v>48000</v>
      </c>
      <c r="H63" s="35">
        <v>0</v>
      </c>
      <c r="I63" s="49">
        <f t="shared" si="0"/>
        <v>48000</v>
      </c>
      <c r="J63" s="51">
        <f t="shared" si="1"/>
        <v>0</v>
      </c>
      <c r="K63" s="48" t="s">
        <v>83</v>
      </c>
      <c r="L63" s="48" t="s">
        <v>83</v>
      </c>
      <c r="M63" s="38">
        <v>41820</v>
      </c>
      <c r="N63" s="48" t="s">
        <v>84</v>
      </c>
      <c r="O63" s="41">
        <v>24000</v>
      </c>
      <c r="P63" s="41">
        <v>24000</v>
      </c>
      <c r="Q63" s="41"/>
      <c r="R63" s="41"/>
      <c r="S63" s="41"/>
    </row>
    <row r="64" spans="1:19" s="15" customFormat="1" ht="26.25" customHeight="1" x14ac:dyDescent="0.2">
      <c r="A64" s="43" t="s">
        <v>117</v>
      </c>
      <c r="B64" s="46" t="s">
        <v>43</v>
      </c>
      <c r="C64" s="44" t="s">
        <v>128</v>
      </c>
      <c r="D64" s="34">
        <v>6418</v>
      </c>
      <c r="E64" s="46" t="s">
        <v>137</v>
      </c>
      <c r="F64" s="35">
        <f>60000*2</f>
        <v>120000</v>
      </c>
      <c r="G64" s="40">
        <f>60000*2</f>
        <v>120000</v>
      </c>
      <c r="H64" s="35">
        <v>0</v>
      </c>
      <c r="I64" s="49">
        <f t="shared" si="0"/>
        <v>120000</v>
      </c>
      <c r="J64" s="51">
        <f t="shared" si="1"/>
        <v>0</v>
      </c>
      <c r="K64" s="48" t="s">
        <v>83</v>
      </c>
      <c r="L64" s="48" t="s">
        <v>83</v>
      </c>
      <c r="M64" s="38">
        <v>41820</v>
      </c>
      <c r="N64" s="48" t="s">
        <v>84</v>
      </c>
      <c r="O64" s="41">
        <v>60000</v>
      </c>
      <c r="P64" s="41">
        <v>60000</v>
      </c>
      <c r="Q64" s="41"/>
      <c r="R64" s="41"/>
      <c r="S64" s="41"/>
    </row>
    <row r="65" spans="1:19" s="15" customFormat="1" ht="26.25" customHeight="1" x14ac:dyDescent="0.2">
      <c r="A65" s="43" t="s">
        <v>118</v>
      </c>
      <c r="B65" s="46" t="s">
        <v>43</v>
      </c>
      <c r="C65" s="44" t="s">
        <v>129</v>
      </c>
      <c r="D65" s="34">
        <v>6420</v>
      </c>
      <c r="E65" s="46" t="s">
        <v>138</v>
      </c>
      <c r="F65" s="35">
        <f>60000*2</f>
        <v>120000</v>
      </c>
      <c r="G65" s="40">
        <f>60000*2</f>
        <v>120000</v>
      </c>
      <c r="H65" s="35">
        <v>0</v>
      </c>
      <c r="I65" s="49">
        <f t="shared" si="0"/>
        <v>120000</v>
      </c>
      <c r="J65" s="51">
        <f t="shared" si="1"/>
        <v>0</v>
      </c>
      <c r="K65" s="48" t="s">
        <v>83</v>
      </c>
      <c r="L65" s="48" t="s">
        <v>83</v>
      </c>
      <c r="M65" s="38">
        <v>41820</v>
      </c>
      <c r="N65" s="48" t="s">
        <v>84</v>
      </c>
      <c r="O65" s="41">
        <v>60000</v>
      </c>
      <c r="P65" s="41">
        <v>60000</v>
      </c>
      <c r="Q65" s="41"/>
      <c r="R65" s="41"/>
      <c r="S65" s="41"/>
    </row>
    <row r="66" spans="1:19" s="15" customFormat="1" ht="26.25" customHeight="1" x14ac:dyDescent="0.2">
      <c r="A66" s="43" t="s">
        <v>488</v>
      </c>
      <c r="B66" s="46" t="s">
        <v>515</v>
      </c>
      <c r="C66" s="44" t="s">
        <v>518</v>
      </c>
      <c r="D66" s="47">
        <v>5927</v>
      </c>
      <c r="E66" s="46" t="s">
        <v>502</v>
      </c>
      <c r="F66" s="35">
        <v>25000</v>
      </c>
      <c r="G66" s="40">
        <v>25000</v>
      </c>
      <c r="H66" s="35">
        <v>0</v>
      </c>
      <c r="I66" s="35">
        <f t="shared" ref="I66:I129" si="2">G66+H66</f>
        <v>25000</v>
      </c>
      <c r="J66" s="36">
        <f t="shared" ref="J66:J129" si="3">IF(G66=0,100%,(I66-G66)/G66)</f>
        <v>0</v>
      </c>
      <c r="K66" s="48" t="s">
        <v>83</v>
      </c>
      <c r="L66" s="48" t="s">
        <v>85</v>
      </c>
      <c r="M66" s="38">
        <v>41820</v>
      </c>
      <c r="N66" s="48"/>
      <c r="O66" s="35">
        <v>25000</v>
      </c>
      <c r="P66" s="35"/>
      <c r="Q66" s="35"/>
      <c r="R66" s="35"/>
      <c r="S66" s="41"/>
    </row>
    <row r="67" spans="1:19" s="15" customFormat="1" ht="26.25" customHeight="1" x14ac:dyDescent="0.2">
      <c r="A67" s="43" t="s">
        <v>24</v>
      </c>
      <c r="B67" s="46" t="s">
        <v>42</v>
      </c>
      <c r="C67" s="44" t="s">
        <v>55</v>
      </c>
      <c r="D67" s="34">
        <v>6362</v>
      </c>
      <c r="E67" s="46" t="s">
        <v>73</v>
      </c>
      <c r="F67" s="35">
        <v>33600</v>
      </c>
      <c r="G67" s="40">
        <v>33600</v>
      </c>
      <c r="H67" s="35">
        <v>0</v>
      </c>
      <c r="I67" s="49">
        <f t="shared" si="2"/>
        <v>33600</v>
      </c>
      <c r="J67" s="51">
        <f t="shared" si="3"/>
        <v>0</v>
      </c>
      <c r="K67" s="48" t="s">
        <v>83</v>
      </c>
      <c r="L67" s="48" t="s">
        <v>83</v>
      </c>
      <c r="M67" s="38">
        <v>41639</v>
      </c>
      <c r="N67" s="48"/>
      <c r="O67" s="41">
        <v>33600</v>
      </c>
      <c r="P67" s="41"/>
      <c r="Q67" s="41"/>
      <c r="R67" s="41"/>
      <c r="S67" s="41"/>
    </row>
    <row r="68" spans="1:19" s="15" customFormat="1" ht="26.25" customHeight="1" x14ac:dyDescent="0.2">
      <c r="A68" s="43" t="s">
        <v>116</v>
      </c>
      <c r="B68" s="46" t="s">
        <v>42</v>
      </c>
      <c r="C68" s="44" t="s">
        <v>127</v>
      </c>
      <c r="D68" s="47">
        <v>6389</v>
      </c>
      <c r="E68" s="46" t="s">
        <v>136</v>
      </c>
      <c r="F68" s="49">
        <v>55000</v>
      </c>
      <c r="G68" s="50">
        <v>55000</v>
      </c>
      <c r="H68" s="49">
        <v>0</v>
      </c>
      <c r="I68" s="49">
        <f t="shared" si="2"/>
        <v>55000</v>
      </c>
      <c r="J68" s="51">
        <f t="shared" si="3"/>
        <v>0</v>
      </c>
      <c r="K68" s="48" t="s">
        <v>83</v>
      </c>
      <c r="L68" s="48" t="s">
        <v>83</v>
      </c>
      <c r="M68" s="52">
        <v>41820</v>
      </c>
      <c r="N68" s="48"/>
      <c r="O68" s="41">
        <v>55000</v>
      </c>
      <c r="P68" s="41"/>
      <c r="Q68" s="41"/>
      <c r="R68" s="41"/>
      <c r="S68" s="41"/>
    </row>
    <row r="69" spans="1:19" s="15" customFormat="1" ht="26.25" customHeight="1" x14ac:dyDescent="0.2">
      <c r="A69" s="43" t="s">
        <v>169</v>
      </c>
      <c r="B69" s="46" t="s">
        <v>42</v>
      </c>
      <c r="C69" s="44" t="s">
        <v>176</v>
      </c>
      <c r="D69" s="34">
        <v>7002</v>
      </c>
      <c r="E69" s="46" t="s">
        <v>184</v>
      </c>
      <c r="F69" s="35">
        <v>6000</v>
      </c>
      <c r="G69" s="40">
        <v>6000</v>
      </c>
      <c r="H69" s="35">
        <v>0</v>
      </c>
      <c r="I69" s="35">
        <f t="shared" si="2"/>
        <v>6000</v>
      </c>
      <c r="J69" s="36">
        <f t="shared" si="3"/>
        <v>0</v>
      </c>
      <c r="K69" s="48" t="s">
        <v>83</v>
      </c>
      <c r="L69" s="48" t="s">
        <v>83</v>
      </c>
      <c r="M69" s="38">
        <v>41820</v>
      </c>
      <c r="N69" s="48"/>
      <c r="O69" s="41">
        <v>6000</v>
      </c>
      <c r="P69" s="41"/>
      <c r="Q69" s="41"/>
      <c r="R69" s="41"/>
      <c r="S69" s="41"/>
    </row>
    <row r="70" spans="1:19" s="15" customFormat="1" ht="26.25" customHeight="1" x14ac:dyDescent="0.2">
      <c r="A70" s="43" t="s">
        <v>400</v>
      </c>
      <c r="B70" s="46" t="s">
        <v>42</v>
      </c>
      <c r="C70" s="44" t="s">
        <v>406</v>
      </c>
      <c r="D70" s="34">
        <v>6847</v>
      </c>
      <c r="E70" s="46" t="s">
        <v>395</v>
      </c>
      <c r="F70" s="35">
        <v>5059</v>
      </c>
      <c r="G70" s="40">
        <v>5059</v>
      </c>
      <c r="H70" s="35">
        <v>0</v>
      </c>
      <c r="I70" s="35">
        <f t="shared" si="2"/>
        <v>5059</v>
      </c>
      <c r="J70" s="36">
        <f t="shared" si="3"/>
        <v>0</v>
      </c>
      <c r="K70" s="48" t="s">
        <v>83</v>
      </c>
      <c r="L70" s="48" t="s">
        <v>83</v>
      </c>
      <c r="M70" s="38">
        <v>41516</v>
      </c>
      <c r="N70" s="48"/>
      <c r="O70" s="35">
        <v>5059</v>
      </c>
      <c r="P70" s="35"/>
      <c r="Q70" s="35"/>
      <c r="R70" s="35"/>
      <c r="S70" s="41"/>
    </row>
    <row r="71" spans="1:19" s="15" customFormat="1" ht="26.25" customHeight="1" x14ac:dyDescent="0.2">
      <c r="A71" s="43" t="s">
        <v>496</v>
      </c>
      <c r="B71" s="46" t="s">
        <v>42</v>
      </c>
      <c r="C71" s="44" t="s">
        <v>176</v>
      </c>
      <c r="D71" s="47" t="s">
        <v>529</v>
      </c>
      <c r="E71" s="46" t="s">
        <v>509</v>
      </c>
      <c r="F71" s="35">
        <v>30000</v>
      </c>
      <c r="G71" s="40">
        <v>7000</v>
      </c>
      <c r="H71" s="35">
        <v>30000</v>
      </c>
      <c r="I71" s="35">
        <f t="shared" si="2"/>
        <v>37000</v>
      </c>
      <c r="J71" s="36">
        <f t="shared" si="3"/>
        <v>4.2857142857142856</v>
      </c>
      <c r="K71" s="48" t="s">
        <v>83</v>
      </c>
      <c r="L71" s="48" t="s">
        <v>83</v>
      </c>
      <c r="M71" s="38">
        <v>41820</v>
      </c>
      <c r="N71" s="48" t="s">
        <v>86</v>
      </c>
      <c r="O71" s="35">
        <v>30000</v>
      </c>
      <c r="P71" s="35"/>
      <c r="Q71" s="35"/>
      <c r="R71" s="35"/>
      <c r="S71" s="41"/>
    </row>
    <row r="72" spans="1:19" s="15" customFormat="1" ht="26.25" customHeight="1" x14ac:dyDescent="0.2">
      <c r="A72" s="43" t="s">
        <v>583</v>
      </c>
      <c r="B72" s="46" t="s">
        <v>42</v>
      </c>
      <c r="C72" s="44" t="s">
        <v>588</v>
      </c>
      <c r="D72" s="47">
        <v>7531</v>
      </c>
      <c r="E72" s="46" t="s">
        <v>595</v>
      </c>
      <c r="F72" s="35">
        <v>14525</v>
      </c>
      <c r="G72" s="40">
        <v>14525</v>
      </c>
      <c r="H72" s="35">
        <v>0</v>
      </c>
      <c r="I72" s="35">
        <f t="shared" si="2"/>
        <v>14525</v>
      </c>
      <c r="J72" s="36">
        <f t="shared" si="3"/>
        <v>0</v>
      </c>
      <c r="K72" s="48" t="s">
        <v>83</v>
      </c>
      <c r="L72" s="48" t="s">
        <v>83</v>
      </c>
      <c r="M72" s="38">
        <v>41486</v>
      </c>
      <c r="N72" s="48"/>
      <c r="O72" s="35">
        <v>14525</v>
      </c>
      <c r="P72" s="35"/>
      <c r="Q72" s="35"/>
      <c r="R72" s="35"/>
      <c r="S72" s="41"/>
    </row>
    <row r="73" spans="1:19" s="15" customFormat="1" ht="26.25" customHeight="1" x14ac:dyDescent="0.2">
      <c r="A73" s="43" t="s">
        <v>606</v>
      </c>
      <c r="B73" s="46" t="s">
        <v>42</v>
      </c>
      <c r="C73" s="44" t="s">
        <v>55</v>
      </c>
      <c r="D73" s="47">
        <v>7553</v>
      </c>
      <c r="E73" s="46" t="s">
        <v>599</v>
      </c>
      <c r="F73" s="35">
        <v>20300</v>
      </c>
      <c r="G73" s="40">
        <v>33600</v>
      </c>
      <c r="H73" s="35">
        <v>20300</v>
      </c>
      <c r="I73" s="35">
        <f t="shared" si="2"/>
        <v>53900</v>
      </c>
      <c r="J73" s="36">
        <f t="shared" si="3"/>
        <v>0.60416666666666663</v>
      </c>
      <c r="K73" s="48" t="s">
        <v>83</v>
      </c>
      <c r="L73" s="48" t="s">
        <v>83</v>
      </c>
      <c r="M73" s="38">
        <v>41729</v>
      </c>
      <c r="N73" s="48" t="s">
        <v>86</v>
      </c>
      <c r="O73" s="35">
        <v>20300</v>
      </c>
      <c r="P73" s="35"/>
      <c r="Q73" s="35"/>
      <c r="R73" s="35"/>
      <c r="S73" s="41"/>
    </row>
    <row r="74" spans="1:19" s="15" customFormat="1" ht="26.25" customHeight="1" x14ac:dyDescent="0.2">
      <c r="A74" s="43" t="s">
        <v>787</v>
      </c>
      <c r="B74" s="46" t="s">
        <v>42</v>
      </c>
      <c r="C74" s="44" t="s">
        <v>55</v>
      </c>
      <c r="D74" s="47" t="s">
        <v>793</v>
      </c>
      <c r="E74" s="46" t="s">
        <v>796</v>
      </c>
      <c r="F74" s="35">
        <v>22400</v>
      </c>
      <c r="G74" s="40">
        <v>33600</v>
      </c>
      <c r="H74" s="35">
        <f>20300+22400</f>
        <v>42700</v>
      </c>
      <c r="I74" s="35">
        <f t="shared" si="2"/>
        <v>76300</v>
      </c>
      <c r="J74" s="36">
        <f t="shared" si="3"/>
        <v>1.2708333333333333</v>
      </c>
      <c r="K74" s="48" t="s">
        <v>83</v>
      </c>
      <c r="L74" s="48" t="s">
        <v>83</v>
      </c>
      <c r="M74" s="38">
        <v>41851</v>
      </c>
      <c r="N74" s="48" t="s">
        <v>86</v>
      </c>
      <c r="O74" s="35">
        <v>22400</v>
      </c>
      <c r="P74" s="35"/>
      <c r="Q74" s="35"/>
      <c r="R74" s="35"/>
      <c r="S74" s="41"/>
    </row>
    <row r="75" spans="1:19" s="15" customFormat="1" ht="26.25" customHeight="1" x14ac:dyDescent="0.2">
      <c r="A75" s="43" t="s">
        <v>864</v>
      </c>
      <c r="B75" s="46" t="s">
        <v>42</v>
      </c>
      <c r="C75" s="44" t="s">
        <v>127</v>
      </c>
      <c r="D75" s="47">
        <v>7964</v>
      </c>
      <c r="E75" s="46" t="s">
        <v>870</v>
      </c>
      <c r="F75" s="35">
        <v>96000</v>
      </c>
      <c r="G75" s="35">
        <v>96000</v>
      </c>
      <c r="H75" s="35">
        <v>0</v>
      </c>
      <c r="I75" s="35">
        <f t="shared" si="2"/>
        <v>96000</v>
      </c>
      <c r="J75" s="36">
        <f t="shared" si="3"/>
        <v>0</v>
      </c>
      <c r="K75" s="48" t="s">
        <v>83</v>
      </c>
      <c r="L75" s="48" t="s">
        <v>83</v>
      </c>
      <c r="M75" s="38">
        <v>42004</v>
      </c>
      <c r="N75" s="48"/>
      <c r="O75" s="35">
        <v>96000</v>
      </c>
      <c r="P75" s="35"/>
      <c r="Q75" s="35"/>
      <c r="R75" s="35"/>
      <c r="S75" s="41"/>
    </row>
    <row r="76" spans="1:19" s="15" customFormat="1" ht="26.25" customHeight="1" x14ac:dyDescent="0.2">
      <c r="A76" s="43" t="s">
        <v>87</v>
      </c>
      <c r="B76" s="46" t="s">
        <v>94</v>
      </c>
      <c r="C76" s="44" t="s">
        <v>96</v>
      </c>
      <c r="D76" s="47" t="s">
        <v>102</v>
      </c>
      <c r="E76" s="46" t="s">
        <v>108</v>
      </c>
      <c r="F76" s="35">
        <f>20000+20000</f>
        <v>40000</v>
      </c>
      <c r="G76" s="40">
        <v>15000</v>
      </c>
      <c r="H76" s="35">
        <f>20000*2</f>
        <v>40000</v>
      </c>
      <c r="I76" s="49">
        <f t="shared" si="2"/>
        <v>55000</v>
      </c>
      <c r="J76" s="51">
        <f t="shared" si="3"/>
        <v>2.6666666666666665</v>
      </c>
      <c r="K76" s="48" t="s">
        <v>83</v>
      </c>
      <c r="L76" s="48" t="s">
        <v>83</v>
      </c>
      <c r="M76" s="38">
        <v>41820</v>
      </c>
      <c r="N76" s="48" t="s">
        <v>84</v>
      </c>
      <c r="O76" s="41">
        <v>20000</v>
      </c>
      <c r="P76" s="41">
        <v>20000</v>
      </c>
      <c r="Q76" s="41"/>
      <c r="R76" s="41"/>
      <c r="S76" s="41"/>
    </row>
    <row r="77" spans="1:19" s="15" customFormat="1" ht="26.25" customHeight="1" x14ac:dyDescent="0.2">
      <c r="A77" s="43" t="s">
        <v>88</v>
      </c>
      <c r="B77" s="46" t="s">
        <v>94</v>
      </c>
      <c r="C77" s="44" t="s">
        <v>97</v>
      </c>
      <c r="D77" s="47" t="s">
        <v>103</v>
      </c>
      <c r="E77" s="46" t="s">
        <v>109</v>
      </c>
      <c r="F77" s="35">
        <f>10000*2</f>
        <v>20000</v>
      </c>
      <c r="G77" s="40">
        <v>15000</v>
      </c>
      <c r="H77" s="35">
        <f>10000*2</f>
        <v>20000</v>
      </c>
      <c r="I77" s="49">
        <f t="shared" si="2"/>
        <v>35000</v>
      </c>
      <c r="J77" s="51">
        <f t="shared" si="3"/>
        <v>1.3333333333333333</v>
      </c>
      <c r="K77" s="48" t="s">
        <v>83</v>
      </c>
      <c r="L77" s="48" t="s">
        <v>83</v>
      </c>
      <c r="M77" s="38">
        <v>41820</v>
      </c>
      <c r="N77" s="48" t="s">
        <v>84</v>
      </c>
      <c r="O77" s="41">
        <v>10000</v>
      </c>
      <c r="P77" s="41">
        <v>10000</v>
      </c>
      <c r="Q77" s="41"/>
      <c r="R77" s="41"/>
      <c r="S77" s="41"/>
    </row>
    <row r="78" spans="1:19" s="15" customFormat="1" ht="26.25" customHeight="1" x14ac:dyDescent="0.2">
      <c r="A78" s="43" t="s">
        <v>89</v>
      </c>
      <c r="B78" s="46" t="s">
        <v>94</v>
      </c>
      <c r="C78" s="44" t="s">
        <v>98</v>
      </c>
      <c r="D78" s="47" t="s">
        <v>104</v>
      </c>
      <c r="E78" s="46" t="s">
        <v>110</v>
      </c>
      <c r="F78" s="35">
        <f>8000*2</f>
        <v>16000</v>
      </c>
      <c r="G78" s="40">
        <v>5500</v>
      </c>
      <c r="H78" s="35">
        <f>8000*2</f>
        <v>16000</v>
      </c>
      <c r="I78" s="49">
        <f t="shared" si="2"/>
        <v>21500</v>
      </c>
      <c r="J78" s="51">
        <f t="shared" si="3"/>
        <v>2.9090909090909092</v>
      </c>
      <c r="K78" s="48" t="s">
        <v>83</v>
      </c>
      <c r="L78" s="48" t="s">
        <v>83</v>
      </c>
      <c r="M78" s="38">
        <v>41820</v>
      </c>
      <c r="N78" s="48" t="s">
        <v>84</v>
      </c>
      <c r="O78" s="41">
        <v>8000</v>
      </c>
      <c r="P78" s="41">
        <v>8000</v>
      </c>
      <c r="Q78" s="41"/>
      <c r="R78" s="41"/>
      <c r="S78" s="41"/>
    </row>
    <row r="79" spans="1:19" s="15" customFormat="1" ht="26.25" customHeight="1" x14ac:dyDescent="0.2">
      <c r="A79" s="43" t="s">
        <v>90</v>
      </c>
      <c r="B79" s="46" t="s">
        <v>94</v>
      </c>
      <c r="C79" s="44" t="s">
        <v>99</v>
      </c>
      <c r="D79" s="47" t="s">
        <v>105</v>
      </c>
      <c r="E79" s="46" t="s">
        <v>111</v>
      </c>
      <c r="F79" s="35">
        <f>12000*2</f>
        <v>24000</v>
      </c>
      <c r="G79" s="40">
        <v>7500</v>
      </c>
      <c r="H79" s="35">
        <f>12000*2</f>
        <v>24000</v>
      </c>
      <c r="I79" s="49">
        <f t="shared" si="2"/>
        <v>31500</v>
      </c>
      <c r="J79" s="51">
        <f t="shared" si="3"/>
        <v>3.2</v>
      </c>
      <c r="K79" s="48" t="s">
        <v>83</v>
      </c>
      <c r="L79" s="48" t="s">
        <v>83</v>
      </c>
      <c r="M79" s="38">
        <v>41820</v>
      </c>
      <c r="N79" s="48" t="s">
        <v>84</v>
      </c>
      <c r="O79" s="41">
        <v>12000</v>
      </c>
      <c r="P79" s="41">
        <v>12000</v>
      </c>
      <c r="Q79" s="41"/>
      <c r="R79" s="41"/>
      <c r="S79" s="41"/>
    </row>
    <row r="80" spans="1:19" s="15" customFormat="1" ht="18" customHeight="1" x14ac:dyDescent="0.2">
      <c r="A80" s="43" t="s">
        <v>158</v>
      </c>
      <c r="B80" s="46" t="s">
        <v>94</v>
      </c>
      <c r="C80" s="44" t="s">
        <v>162</v>
      </c>
      <c r="D80" s="34">
        <v>6544</v>
      </c>
      <c r="E80" s="46" t="s">
        <v>165</v>
      </c>
      <c r="F80" s="35">
        <f>10000+10000+10000</f>
        <v>30000</v>
      </c>
      <c r="G80" s="35">
        <f>10000+10000+10000</f>
        <v>30000</v>
      </c>
      <c r="H80" s="35">
        <v>0</v>
      </c>
      <c r="I80" s="35">
        <f t="shared" si="2"/>
        <v>30000</v>
      </c>
      <c r="J80" s="36">
        <f t="shared" si="3"/>
        <v>0</v>
      </c>
      <c r="K80" s="48" t="s">
        <v>83</v>
      </c>
      <c r="L80" s="48" t="s">
        <v>83</v>
      </c>
      <c r="M80" s="38">
        <v>41820</v>
      </c>
      <c r="N80" s="48" t="s">
        <v>84</v>
      </c>
      <c r="O80" s="41">
        <v>10000</v>
      </c>
      <c r="P80" s="41">
        <v>10000</v>
      </c>
      <c r="Q80" s="41">
        <v>10000</v>
      </c>
      <c r="R80" s="41"/>
      <c r="S80" s="41"/>
    </row>
    <row r="81" spans="1:19" s="15" customFormat="1" ht="26.25" customHeight="1" x14ac:dyDescent="0.2">
      <c r="A81" s="43" t="s">
        <v>187</v>
      </c>
      <c r="B81" s="46" t="s">
        <v>94</v>
      </c>
      <c r="C81" s="44" t="s">
        <v>201</v>
      </c>
      <c r="D81" s="34">
        <v>6599</v>
      </c>
      <c r="E81" s="46" t="s">
        <v>216</v>
      </c>
      <c r="F81" s="40">
        <f>70000+70000</f>
        <v>140000</v>
      </c>
      <c r="G81" s="40">
        <f>70000+70000</f>
        <v>140000</v>
      </c>
      <c r="H81" s="35">
        <v>0</v>
      </c>
      <c r="I81" s="35">
        <f t="shared" si="2"/>
        <v>140000</v>
      </c>
      <c r="J81" s="36">
        <f t="shared" si="3"/>
        <v>0</v>
      </c>
      <c r="K81" s="48" t="s">
        <v>83</v>
      </c>
      <c r="L81" s="48" t="s">
        <v>83</v>
      </c>
      <c r="M81" s="52">
        <v>41820</v>
      </c>
      <c r="N81" s="48" t="s">
        <v>84</v>
      </c>
      <c r="O81" s="41">
        <v>70000</v>
      </c>
      <c r="P81" s="41">
        <v>70000</v>
      </c>
      <c r="Q81" s="41"/>
      <c r="R81" s="41"/>
      <c r="S81" s="41"/>
    </row>
    <row r="82" spans="1:19" s="15" customFormat="1" ht="26.25" customHeight="1" x14ac:dyDescent="0.2">
      <c r="A82" s="43" t="s">
        <v>197</v>
      </c>
      <c r="B82" s="46" t="s">
        <v>94</v>
      </c>
      <c r="C82" s="44" t="s">
        <v>211</v>
      </c>
      <c r="D82" s="47">
        <v>6715</v>
      </c>
      <c r="E82" s="46" t="s">
        <v>225</v>
      </c>
      <c r="F82" s="35">
        <v>64000</v>
      </c>
      <c r="G82" s="40">
        <v>64000</v>
      </c>
      <c r="H82" s="35">
        <v>0</v>
      </c>
      <c r="I82" s="35">
        <f t="shared" si="2"/>
        <v>64000</v>
      </c>
      <c r="J82" s="36">
        <f t="shared" si="3"/>
        <v>0</v>
      </c>
      <c r="K82" s="48" t="s">
        <v>83</v>
      </c>
      <c r="L82" s="48" t="s">
        <v>83</v>
      </c>
      <c r="M82" s="38">
        <v>41820</v>
      </c>
      <c r="N82" s="37"/>
      <c r="O82" s="35">
        <v>64000</v>
      </c>
      <c r="P82" s="35"/>
      <c r="Q82" s="35"/>
      <c r="R82" s="35"/>
      <c r="S82" s="41"/>
    </row>
    <row r="83" spans="1:19" s="15" customFormat="1" ht="26.25" customHeight="1" x14ac:dyDescent="0.2">
      <c r="A83" s="43" t="s">
        <v>244</v>
      </c>
      <c r="B83" s="46" t="s">
        <v>94</v>
      </c>
      <c r="C83" s="44" t="s">
        <v>252</v>
      </c>
      <c r="D83" s="34">
        <v>6761</v>
      </c>
      <c r="E83" s="46" t="s">
        <v>259</v>
      </c>
      <c r="F83" s="35">
        <f>31700*3</f>
        <v>95100</v>
      </c>
      <c r="G83" s="40">
        <f>31700*3</f>
        <v>95100</v>
      </c>
      <c r="H83" s="35">
        <v>0</v>
      </c>
      <c r="I83" s="35">
        <f t="shared" si="2"/>
        <v>95100</v>
      </c>
      <c r="J83" s="36">
        <f t="shared" si="3"/>
        <v>0</v>
      </c>
      <c r="K83" s="48" t="s">
        <v>83</v>
      </c>
      <c r="L83" s="48" t="s">
        <v>85</v>
      </c>
      <c r="M83" s="38">
        <v>41820</v>
      </c>
      <c r="N83" s="48" t="s">
        <v>84</v>
      </c>
      <c r="O83" s="35">
        <v>31700</v>
      </c>
      <c r="P83" s="35">
        <v>31700</v>
      </c>
      <c r="Q83" s="35">
        <v>31700</v>
      </c>
      <c r="R83" s="35"/>
      <c r="S83" s="41"/>
    </row>
    <row r="84" spans="1:19" s="15" customFormat="1" ht="26.25" customHeight="1" x14ac:dyDescent="0.2">
      <c r="A84" s="43" t="s">
        <v>270</v>
      </c>
      <c r="B84" s="46" t="s">
        <v>94</v>
      </c>
      <c r="C84" s="44" t="s">
        <v>284</v>
      </c>
      <c r="D84" s="34">
        <v>7008</v>
      </c>
      <c r="E84" s="46" t="s">
        <v>299</v>
      </c>
      <c r="F84" s="35">
        <f>25000*3</f>
        <v>75000</v>
      </c>
      <c r="G84" s="35">
        <f>25000*3</f>
        <v>75000</v>
      </c>
      <c r="H84" s="35">
        <v>0</v>
      </c>
      <c r="I84" s="35">
        <f t="shared" si="2"/>
        <v>75000</v>
      </c>
      <c r="J84" s="36">
        <f t="shared" si="3"/>
        <v>0</v>
      </c>
      <c r="K84" s="48" t="s">
        <v>83</v>
      </c>
      <c r="L84" s="48" t="s">
        <v>83</v>
      </c>
      <c r="M84" s="52">
        <v>41820</v>
      </c>
      <c r="N84" s="48" t="s">
        <v>84</v>
      </c>
      <c r="O84" s="35">
        <v>25000</v>
      </c>
      <c r="P84" s="35">
        <v>25000</v>
      </c>
      <c r="Q84" s="35">
        <v>25000</v>
      </c>
      <c r="R84" s="35"/>
      <c r="S84" s="41"/>
    </row>
    <row r="85" spans="1:19" s="15" customFormat="1" ht="26.25" customHeight="1" x14ac:dyDescent="0.2">
      <c r="A85" s="43" t="s">
        <v>271</v>
      </c>
      <c r="B85" s="46" t="s">
        <v>94</v>
      </c>
      <c r="C85" s="44" t="s">
        <v>285</v>
      </c>
      <c r="D85" s="34">
        <v>7030</v>
      </c>
      <c r="E85" s="46" t="s">
        <v>300</v>
      </c>
      <c r="F85" s="35">
        <f>30000*3</f>
        <v>90000</v>
      </c>
      <c r="G85" s="40">
        <f>30000*3</f>
        <v>90000</v>
      </c>
      <c r="H85" s="35">
        <v>0</v>
      </c>
      <c r="I85" s="35">
        <f t="shared" si="2"/>
        <v>90000</v>
      </c>
      <c r="J85" s="36">
        <f t="shared" si="3"/>
        <v>0</v>
      </c>
      <c r="K85" s="48" t="s">
        <v>83</v>
      </c>
      <c r="L85" s="48" t="s">
        <v>83</v>
      </c>
      <c r="M85" s="52">
        <v>41820</v>
      </c>
      <c r="N85" s="48" t="s">
        <v>84</v>
      </c>
      <c r="O85" s="35">
        <v>30000</v>
      </c>
      <c r="P85" s="35">
        <v>30000</v>
      </c>
      <c r="Q85" s="35">
        <v>30000</v>
      </c>
      <c r="R85" s="35"/>
      <c r="S85" s="41"/>
    </row>
    <row r="86" spans="1:19" s="15" customFormat="1" ht="26.25" customHeight="1" x14ac:dyDescent="0.2">
      <c r="A86" s="43" t="s">
        <v>276</v>
      </c>
      <c r="B86" s="46" t="s">
        <v>94</v>
      </c>
      <c r="C86" s="44" t="s">
        <v>289</v>
      </c>
      <c r="D86" s="34">
        <v>7062</v>
      </c>
      <c r="E86" s="46" t="s">
        <v>305</v>
      </c>
      <c r="F86" s="35">
        <v>49500</v>
      </c>
      <c r="G86" s="40">
        <v>49500</v>
      </c>
      <c r="H86" s="35">
        <v>0</v>
      </c>
      <c r="I86" s="35">
        <f t="shared" si="2"/>
        <v>49500</v>
      </c>
      <c r="J86" s="36">
        <f t="shared" si="3"/>
        <v>0</v>
      </c>
      <c r="K86" s="48" t="s">
        <v>83</v>
      </c>
      <c r="L86" s="48" t="s">
        <v>83</v>
      </c>
      <c r="M86" s="38">
        <v>41881</v>
      </c>
      <c r="N86" s="48"/>
      <c r="O86" s="35">
        <v>49500</v>
      </c>
      <c r="P86" s="35"/>
      <c r="Q86" s="35"/>
      <c r="R86" s="35"/>
      <c r="S86" s="41"/>
    </row>
    <row r="87" spans="1:19" s="15" customFormat="1" ht="26.25" customHeight="1" x14ac:dyDescent="0.2">
      <c r="A87" s="43" t="s">
        <v>424</v>
      </c>
      <c r="B87" s="46" t="s">
        <v>94</v>
      </c>
      <c r="C87" s="44" t="s">
        <v>438</v>
      </c>
      <c r="D87" s="47" t="s">
        <v>443</v>
      </c>
      <c r="E87" s="46" t="s">
        <v>436</v>
      </c>
      <c r="F87" s="35">
        <f>49500*3</f>
        <v>148500</v>
      </c>
      <c r="G87" s="40">
        <v>49500</v>
      </c>
      <c r="H87" s="35">
        <f>49500*3</f>
        <v>148500</v>
      </c>
      <c r="I87" s="35">
        <f t="shared" si="2"/>
        <v>198000</v>
      </c>
      <c r="J87" s="36">
        <f t="shared" si="3"/>
        <v>3</v>
      </c>
      <c r="K87" s="48" t="s">
        <v>83</v>
      </c>
      <c r="L87" s="48" t="s">
        <v>83</v>
      </c>
      <c r="M87" s="38">
        <v>41698</v>
      </c>
      <c r="N87" s="48" t="s">
        <v>86</v>
      </c>
      <c r="O87" s="35">
        <v>49500</v>
      </c>
      <c r="P87" s="35">
        <v>49500</v>
      </c>
      <c r="Q87" s="35">
        <v>49500</v>
      </c>
      <c r="R87" s="35"/>
      <c r="S87" s="41"/>
    </row>
    <row r="88" spans="1:19" s="15" customFormat="1" ht="26.25" customHeight="1" x14ac:dyDescent="0.2">
      <c r="A88" s="43" t="s">
        <v>457</v>
      </c>
      <c r="B88" s="46" t="s">
        <v>94</v>
      </c>
      <c r="C88" s="44" t="s">
        <v>468</v>
      </c>
      <c r="D88" s="34">
        <v>7294</v>
      </c>
      <c r="E88" s="46" t="s">
        <v>462</v>
      </c>
      <c r="F88" s="35">
        <f>30000*2</f>
        <v>60000</v>
      </c>
      <c r="G88" s="40">
        <f>30000*2</f>
        <v>60000</v>
      </c>
      <c r="H88" s="35">
        <v>0</v>
      </c>
      <c r="I88" s="35">
        <f t="shared" si="2"/>
        <v>60000</v>
      </c>
      <c r="J88" s="36">
        <f t="shared" si="3"/>
        <v>0</v>
      </c>
      <c r="K88" s="48" t="s">
        <v>83</v>
      </c>
      <c r="L88" s="48" t="s">
        <v>83</v>
      </c>
      <c r="M88" s="38">
        <v>41820</v>
      </c>
      <c r="N88" s="48" t="s">
        <v>84</v>
      </c>
      <c r="O88" s="35">
        <v>30000</v>
      </c>
      <c r="P88" s="35">
        <v>30000</v>
      </c>
      <c r="Q88" s="35"/>
      <c r="R88" s="35"/>
      <c r="S88" s="41"/>
    </row>
    <row r="89" spans="1:19" s="15" customFormat="1" ht="18" customHeight="1" x14ac:dyDescent="0.2">
      <c r="A89" s="43" t="s">
        <v>554</v>
      </c>
      <c r="B89" s="46" t="s">
        <v>94</v>
      </c>
      <c r="C89" s="44" t="s">
        <v>568</v>
      </c>
      <c r="D89" s="47">
        <v>7471</v>
      </c>
      <c r="E89" s="46" t="s">
        <v>579</v>
      </c>
      <c r="F89" s="35">
        <f>10000*3</f>
        <v>30000</v>
      </c>
      <c r="G89" s="40">
        <f>10000*3</f>
        <v>30000</v>
      </c>
      <c r="H89" s="35">
        <v>0</v>
      </c>
      <c r="I89" s="35">
        <f t="shared" si="2"/>
        <v>30000</v>
      </c>
      <c r="J89" s="36">
        <f t="shared" si="3"/>
        <v>0</v>
      </c>
      <c r="K89" s="48" t="s">
        <v>83</v>
      </c>
      <c r="L89" s="48" t="s">
        <v>85</v>
      </c>
      <c r="M89" s="38">
        <v>41820</v>
      </c>
      <c r="N89" s="48" t="s">
        <v>84</v>
      </c>
      <c r="O89" s="35">
        <v>10000</v>
      </c>
      <c r="P89" s="35">
        <v>10000</v>
      </c>
      <c r="Q89" s="35">
        <v>10000</v>
      </c>
      <c r="R89" s="35"/>
      <c r="S89" s="41"/>
    </row>
    <row r="90" spans="1:19" s="15" customFormat="1" ht="26.25" customHeight="1" x14ac:dyDescent="0.2">
      <c r="A90" s="43" t="s">
        <v>658</v>
      </c>
      <c r="B90" s="46" t="s">
        <v>94</v>
      </c>
      <c r="C90" s="46" t="s">
        <v>661</v>
      </c>
      <c r="D90" s="47">
        <v>7751</v>
      </c>
      <c r="E90" s="46" t="s">
        <v>665</v>
      </c>
      <c r="F90" s="35">
        <f>35000*3</f>
        <v>105000</v>
      </c>
      <c r="G90" s="40">
        <f>35000*3</f>
        <v>105000</v>
      </c>
      <c r="H90" s="35">
        <v>0</v>
      </c>
      <c r="I90" s="35">
        <f t="shared" si="2"/>
        <v>105000</v>
      </c>
      <c r="J90" s="36">
        <f t="shared" si="3"/>
        <v>0</v>
      </c>
      <c r="K90" s="48" t="s">
        <v>83</v>
      </c>
      <c r="L90" s="48" t="s">
        <v>83</v>
      </c>
      <c r="M90" s="38">
        <v>41820</v>
      </c>
      <c r="N90" s="48" t="s">
        <v>84</v>
      </c>
      <c r="O90" s="35">
        <v>35000</v>
      </c>
      <c r="P90" s="35">
        <v>35000</v>
      </c>
      <c r="Q90" s="35">
        <v>35000</v>
      </c>
      <c r="R90" s="35"/>
      <c r="S90" s="41"/>
    </row>
    <row r="91" spans="1:19" s="15" customFormat="1" ht="26.25" customHeight="1" x14ac:dyDescent="0.2">
      <c r="A91" s="43" t="s">
        <v>718</v>
      </c>
      <c r="B91" s="46" t="s">
        <v>94</v>
      </c>
      <c r="C91" s="44" t="s">
        <v>732</v>
      </c>
      <c r="D91" s="47">
        <v>7861</v>
      </c>
      <c r="E91" s="46" t="s">
        <v>741</v>
      </c>
      <c r="F91" s="35">
        <v>49500</v>
      </c>
      <c r="G91" s="40">
        <v>49500</v>
      </c>
      <c r="H91" s="35">
        <v>0</v>
      </c>
      <c r="I91" s="35">
        <f t="shared" si="2"/>
        <v>49500</v>
      </c>
      <c r="J91" s="36">
        <f t="shared" si="3"/>
        <v>0</v>
      </c>
      <c r="K91" s="48" t="s">
        <v>83</v>
      </c>
      <c r="L91" s="48" t="s">
        <v>83</v>
      </c>
      <c r="M91" s="38">
        <v>42063</v>
      </c>
      <c r="N91" s="48"/>
      <c r="O91" s="35">
        <v>49500</v>
      </c>
      <c r="P91" s="35"/>
      <c r="Q91" s="35"/>
      <c r="R91" s="35"/>
      <c r="S91" s="41"/>
    </row>
    <row r="92" spans="1:19" s="15" customFormat="1" ht="26.25" customHeight="1" x14ac:dyDescent="0.2">
      <c r="A92" s="43" t="s">
        <v>786</v>
      </c>
      <c r="B92" s="46" t="s">
        <v>94</v>
      </c>
      <c r="C92" s="44" t="s">
        <v>790</v>
      </c>
      <c r="D92" s="47">
        <v>7926</v>
      </c>
      <c r="E92" s="46" t="s">
        <v>797</v>
      </c>
      <c r="F92" s="35">
        <f>75000+25000</f>
        <v>100000</v>
      </c>
      <c r="G92" s="40">
        <f>75000+25000</f>
        <v>100000</v>
      </c>
      <c r="H92" s="35">
        <v>0</v>
      </c>
      <c r="I92" s="35">
        <f t="shared" si="2"/>
        <v>100000</v>
      </c>
      <c r="J92" s="36">
        <f t="shared" si="3"/>
        <v>0</v>
      </c>
      <c r="K92" s="48" t="s">
        <v>83</v>
      </c>
      <c r="L92" s="48" t="s">
        <v>83</v>
      </c>
      <c r="M92" s="38">
        <v>42917</v>
      </c>
      <c r="N92" s="48" t="s">
        <v>84</v>
      </c>
      <c r="O92" s="35">
        <v>75000</v>
      </c>
      <c r="P92" s="35"/>
      <c r="Q92" s="35"/>
      <c r="R92" s="35"/>
      <c r="S92" s="41">
        <v>25000</v>
      </c>
    </row>
    <row r="93" spans="1:19" s="15" customFormat="1" ht="26.25" customHeight="1" x14ac:dyDescent="0.2">
      <c r="A93" s="43" t="s">
        <v>828</v>
      </c>
      <c r="B93" s="46" t="s">
        <v>94</v>
      </c>
      <c r="C93" s="44" t="s">
        <v>830</v>
      </c>
      <c r="D93" s="47">
        <v>8042</v>
      </c>
      <c r="E93" s="46" t="s">
        <v>832</v>
      </c>
      <c r="F93" s="35">
        <f>99000*3</f>
        <v>297000</v>
      </c>
      <c r="G93" s="40">
        <f>99000*3</f>
        <v>297000</v>
      </c>
      <c r="H93" s="35">
        <v>0</v>
      </c>
      <c r="I93" s="35">
        <f t="shared" si="2"/>
        <v>297000</v>
      </c>
      <c r="J93" s="36">
        <f t="shared" si="3"/>
        <v>0</v>
      </c>
      <c r="K93" s="48" t="s">
        <v>83</v>
      </c>
      <c r="L93" s="48" t="s">
        <v>83</v>
      </c>
      <c r="M93" s="38">
        <v>41820</v>
      </c>
      <c r="N93" s="48" t="s">
        <v>84</v>
      </c>
      <c r="O93" s="35">
        <v>99000</v>
      </c>
      <c r="P93" s="35">
        <v>99000</v>
      </c>
      <c r="Q93" s="35">
        <v>99000</v>
      </c>
      <c r="R93" s="35"/>
      <c r="S93" s="41"/>
    </row>
    <row r="94" spans="1:19" s="15" customFormat="1" ht="26.25" customHeight="1" x14ac:dyDescent="0.2">
      <c r="A94" s="43" t="s">
        <v>839</v>
      </c>
      <c r="B94" s="46" t="s">
        <v>94</v>
      </c>
      <c r="C94" s="44" t="s">
        <v>848</v>
      </c>
      <c r="D94" s="47">
        <v>8085</v>
      </c>
      <c r="E94" s="46" t="s">
        <v>858</v>
      </c>
      <c r="F94" s="35">
        <f>10000*3</f>
        <v>30000</v>
      </c>
      <c r="G94" s="40">
        <f>10000*3</f>
        <v>30000</v>
      </c>
      <c r="H94" s="35">
        <v>0</v>
      </c>
      <c r="I94" s="35">
        <f t="shared" si="2"/>
        <v>30000</v>
      </c>
      <c r="J94" s="36">
        <f t="shared" si="3"/>
        <v>0</v>
      </c>
      <c r="K94" s="48" t="s">
        <v>83</v>
      </c>
      <c r="L94" s="48" t="s">
        <v>85</v>
      </c>
      <c r="M94" s="38">
        <v>42063</v>
      </c>
      <c r="N94" s="48" t="s">
        <v>84</v>
      </c>
      <c r="O94" s="35">
        <v>10000</v>
      </c>
      <c r="P94" s="35">
        <v>10000</v>
      </c>
      <c r="Q94" s="35">
        <v>10000</v>
      </c>
      <c r="R94" s="35"/>
      <c r="S94" s="41"/>
    </row>
    <row r="95" spans="1:19" s="15" customFormat="1" ht="26.25" customHeight="1" x14ac:dyDescent="0.2">
      <c r="A95" s="43" t="s">
        <v>842</v>
      </c>
      <c r="B95" s="46" t="s">
        <v>94</v>
      </c>
      <c r="C95" s="44" t="s">
        <v>850</v>
      </c>
      <c r="D95" s="47">
        <v>8131</v>
      </c>
      <c r="E95" s="46" t="s">
        <v>860</v>
      </c>
      <c r="F95" s="35">
        <f>8267*3</f>
        <v>24801</v>
      </c>
      <c r="G95" s="40">
        <f>8267*3</f>
        <v>24801</v>
      </c>
      <c r="H95" s="35">
        <v>0</v>
      </c>
      <c r="I95" s="35">
        <f t="shared" si="2"/>
        <v>24801</v>
      </c>
      <c r="J95" s="36">
        <f t="shared" si="3"/>
        <v>0</v>
      </c>
      <c r="K95" s="48" t="s">
        <v>83</v>
      </c>
      <c r="L95" s="48" t="s">
        <v>83</v>
      </c>
      <c r="M95" s="38">
        <v>42094</v>
      </c>
      <c r="N95" s="48" t="s">
        <v>84</v>
      </c>
      <c r="O95" s="35">
        <v>8267</v>
      </c>
      <c r="P95" s="35">
        <v>8267</v>
      </c>
      <c r="Q95" s="35">
        <v>8267</v>
      </c>
      <c r="R95" s="35"/>
      <c r="S95" s="41"/>
    </row>
    <row r="96" spans="1:19" s="15" customFormat="1" ht="26.25" customHeight="1" x14ac:dyDescent="0.2">
      <c r="A96" s="43" t="s">
        <v>886</v>
      </c>
      <c r="B96" s="46" t="s">
        <v>94</v>
      </c>
      <c r="C96" s="44" t="s">
        <v>99</v>
      </c>
      <c r="D96" s="47" t="s">
        <v>891</v>
      </c>
      <c r="E96" s="46" t="s">
        <v>895</v>
      </c>
      <c r="F96" s="35">
        <f>15000+15000</f>
        <v>30000</v>
      </c>
      <c r="G96" s="35">
        <v>7500</v>
      </c>
      <c r="H96" s="35">
        <f>12000+15000+15000</f>
        <v>42000</v>
      </c>
      <c r="I96" s="35">
        <f t="shared" si="2"/>
        <v>49500</v>
      </c>
      <c r="J96" s="36">
        <f t="shared" si="3"/>
        <v>5.6</v>
      </c>
      <c r="K96" s="48" t="s">
        <v>83</v>
      </c>
      <c r="L96" s="48" t="s">
        <v>83</v>
      </c>
      <c r="M96" s="38">
        <v>41943</v>
      </c>
      <c r="N96" s="48" t="s">
        <v>86</v>
      </c>
      <c r="O96" s="35">
        <v>15000</v>
      </c>
      <c r="P96" s="35">
        <v>15000</v>
      </c>
      <c r="Q96" s="35"/>
      <c r="R96" s="35"/>
      <c r="S96" s="41"/>
    </row>
    <row r="97" spans="1:19" s="15" customFormat="1" ht="18" customHeight="1" x14ac:dyDescent="0.2">
      <c r="A97" s="43" t="s">
        <v>1040</v>
      </c>
      <c r="B97" s="46" t="s">
        <v>94</v>
      </c>
      <c r="C97" s="44" t="s">
        <v>1045</v>
      </c>
      <c r="D97" s="47">
        <v>8446</v>
      </c>
      <c r="E97" s="46" t="s">
        <v>1050</v>
      </c>
      <c r="F97" s="35">
        <f>25000*3</f>
        <v>75000</v>
      </c>
      <c r="G97" s="35">
        <f>25000*3</f>
        <v>75000</v>
      </c>
      <c r="H97" s="35">
        <v>0</v>
      </c>
      <c r="I97" s="35">
        <f t="shared" si="2"/>
        <v>75000</v>
      </c>
      <c r="J97" s="36">
        <f t="shared" si="3"/>
        <v>0</v>
      </c>
      <c r="K97" s="48" t="s">
        <v>83</v>
      </c>
      <c r="L97" s="48" t="s">
        <v>83</v>
      </c>
      <c r="M97" s="38">
        <v>42185</v>
      </c>
      <c r="N97" s="48" t="s">
        <v>84</v>
      </c>
      <c r="O97" s="35">
        <v>25000</v>
      </c>
      <c r="P97" s="35">
        <v>25000</v>
      </c>
      <c r="Q97" s="35">
        <v>25000</v>
      </c>
      <c r="R97" s="35"/>
      <c r="S97" s="41"/>
    </row>
    <row r="98" spans="1:19" s="15" customFormat="1" ht="26.25" customHeight="1" x14ac:dyDescent="0.2">
      <c r="A98" s="43" t="s">
        <v>1055</v>
      </c>
      <c r="B98" s="46" t="s">
        <v>94</v>
      </c>
      <c r="C98" s="44" t="s">
        <v>1064</v>
      </c>
      <c r="D98" s="47">
        <v>8341</v>
      </c>
      <c r="E98" s="46" t="s">
        <v>1072</v>
      </c>
      <c r="F98" s="35">
        <f>91350*2</f>
        <v>182700</v>
      </c>
      <c r="G98" s="35">
        <f>91350*2</f>
        <v>182700</v>
      </c>
      <c r="H98" s="35">
        <v>0</v>
      </c>
      <c r="I98" s="35">
        <f t="shared" si="2"/>
        <v>182700</v>
      </c>
      <c r="J98" s="36">
        <f t="shared" si="3"/>
        <v>0</v>
      </c>
      <c r="K98" s="48" t="s">
        <v>83</v>
      </c>
      <c r="L98" s="48" t="s">
        <v>83</v>
      </c>
      <c r="M98" s="38">
        <v>42185</v>
      </c>
      <c r="N98" s="48" t="s">
        <v>84</v>
      </c>
      <c r="O98" s="35"/>
      <c r="P98" s="35">
        <v>91350</v>
      </c>
      <c r="Q98" s="35">
        <v>91350</v>
      </c>
      <c r="R98" s="35"/>
      <c r="S98" s="41"/>
    </row>
    <row r="99" spans="1:19" s="15" customFormat="1" ht="26.25" customHeight="1" x14ac:dyDescent="0.2">
      <c r="A99" s="43" t="s">
        <v>1057</v>
      </c>
      <c r="B99" s="46" t="s">
        <v>94</v>
      </c>
      <c r="C99" s="44" t="s">
        <v>1065</v>
      </c>
      <c r="D99" s="47">
        <v>8406</v>
      </c>
      <c r="E99" s="46" t="s">
        <v>1073</v>
      </c>
      <c r="F99" s="35">
        <f>95730*3</f>
        <v>287190</v>
      </c>
      <c r="G99" s="35">
        <f>95730*3</f>
        <v>287190</v>
      </c>
      <c r="H99" s="35">
        <v>0</v>
      </c>
      <c r="I99" s="35">
        <f t="shared" si="2"/>
        <v>287190</v>
      </c>
      <c r="J99" s="36">
        <f t="shared" si="3"/>
        <v>0</v>
      </c>
      <c r="K99" s="48" t="s">
        <v>83</v>
      </c>
      <c r="L99" s="48" t="s">
        <v>83</v>
      </c>
      <c r="M99" s="38">
        <v>42185</v>
      </c>
      <c r="N99" s="48" t="s">
        <v>84</v>
      </c>
      <c r="O99" s="35"/>
      <c r="P99" s="35">
        <v>95730</v>
      </c>
      <c r="Q99" s="35">
        <v>95730</v>
      </c>
      <c r="R99" s="35">
        <v>95730</v>
      </c>
      <c r="S99" s="41"/>
    </row>
    <row r="100" spans="1:19" s="15" customFormat="1" ht="26.25" customHeight="1" x14ac:dyDescent="0.2">
      <c r="A100" s="43" t="s">
        <v>1058</v>
      </c>
      <c r="B100" s="46" t="s">
        <v>94</v>
      </c>
      <c r="C100" s="44" t="s">
        <v>1066</v>
      </c>
      <c r="D100" s="47">
        <v>8408</v>
      </c>
      <c r="E100" s="46" t="s">
        <v>1074</v>
      </c>
      <c r="F100" s="35">
        <f>99000*3</f>
        <v>297000</v>
      </c>
      <c r="G100" s="35">
        <f>99000*3</f>
        <v>297000</v>
      </c>
      <c r="H100" s="35">
        <v>0</v>
      </c>
      <c r="I100" s="35">
        <f t="shared" si="2"/>
        <v>297000</v>
      </c>
      <c r="J100" s="36">
        <f t="shared" si="3"/>
        <v>0</v>
      </c>
      <c r="K100" s="48" t="s">
        <v>83</v>
      </c>
      <c r="L100" s="48" t="s">
        <v>83</v>
      </c>
      <c r="M100" s="38">
        <v>41820</v>
      </c>
      <c r="N100" s="48" t="s">
        <v>84</v>
      </c>
      <c r="O100" s="35">
        <v>99000</v>
      </c>
      <c r="P100" s="35">
        <v>99000</v>
      </c>
      <c r="Q100" s="35">
        <v>99000</v>
      </c>
      <c r="R100" s="35"/>
      <c r="S100" s="41"/>
    </row>
    <row r="101" spans="1:19" s="15" customFormat="1" ht="26.25" customHeight="1" x14ac:dyDescent="0.2">
      <c r="A101" s="43" t="s">
        <v>1061</v>
      </c>
      <c r="B101" s="46" t="s">
        <v>94</v>
      </c>
      <c r="C101" s="44" t="s">
        <v>732</v>
      </c>
      <c r="D101" s="47" t="s">
        <v>1070</v>
      </c>
      <c r="E101" s="46" t="s">
        <v>1077</v>
      </c>
      <c r="F101" s="35">
        <v>5000</v>
      </c>
      <c r="G101" s="35">
        <v>49500</v>
      </c>
      <c r="H101" s="35">
        <v>5000</v>
      </c>
      <c r="I101" s="35">
        <f t="shared" si="2"/>
        <v>54500</v>
      </c>
      <c r="J101" s="36">
        <f t="shared" si="3"/>
        <v>0.10101010101010101</v>
      </c>
      <c r="K101" s="48" t="s">
        <v>83</v>
      </c>
      <c r="L101" s="48" t="s">
        <v>83</v>
      </c>
      <c r="M101" s="38">
        <v>42063</v>
      </c>
      <c r="N101" s="48" t="s">
        <v>86</v>
      </c>
      <c r="O101" s="35">
        <v>5000</v>
      </c>
      <c r="P101" s="35"/>
      <c r="Q101" s="35"/>
      <c r="R101" s="35"/>
      <c r="S101" s="41"/>
    </row>
    <row r="102" spans="1:19" s="15" customFormat="1" ht="26.25" customHeight="1" x14ac:dyDescent="0.2">
      <c r="A102" s="43" t="s">
        <v>157</v>
      </c>
      <c r="B102" s="46" t="s">
        <v>159</v>
      </c>
      <c r="C102" s="44" t="s">
        <v>161</v>
      </c>
      <c r="D102" s="34">
        <v>6943</v>
      </c>
      <c r="E102" s="46" t="s">
        <v>164</v>
      </c>
      <c r="F102" s="35">
        <v>5400</v>
      </c>
      <c r="G102" s="40">
        <v>5400</v>
      </c>
      <c r="H102" s="35">
        <v>0</v>
      </c>
      <c r="I102" s="35">
        <f t="shared" si="2"/>
        <v>5400</v>
      </c>
      <c r="J102" s="36">
        <f t="shared" si="3"/>
        <v>0</v>
      </c>
      <c r="K102" s="48" t="s">
        <v>83</v>
      </c>
      <c r="L102" s="48" t="s">
        <v>83</v>
      </c>
      <c r="M102" s="38">
        <v>41820</v>
      </c>
      <c r="N102" s="37"/>
      <c r="O102" s="41">
        <v>5400</v>
      </c>
      <c r="P102" s="41"/>
      <c r="Q102" s="41"/>
      <c r="R102" s="41"/>
      <c r="S102" s="41"/>
    </row>
    <row r="103" spans="1:19" s="15" customFormat="1" ht="26.25" customHeight="1" x14ac:dyDescent="0.2">
      <c r="A103" s="43" t="s">
        <v>188</v>
      </c>
      <c r="B103" s="46" t="s">
        <v>159</v>
      </c>
      <c r="C103" s="44" t="s">
        <v>202</v>
      </c>
      <c r="D103" s="34">
        <v>6929</v>
      </c>
      <c r="E103" s="46" t="s">
        <v>217</v>
      </c>
      <c r="F103" s="35">
        <v>99000</v>
      </c>
      <c r="G103" s="40">
        <v>99000</v>
      </c>
      <c r="H103" s="35">
        <v>0</v>
      </c>
      <c r="I103" s="35">
        <f t="shared" si="2"/>
        <v>99000</v>
      </c>
      <c r="J103" s="36">
        <f t="shared" si="3"/>
        <v>0</v>
      </c>
      <c r="K103" s="48" t="s">
        <v>83</v>
      </c>
      <c r="L103" s="48" t="s">
        <v>83</v>
      </c>
      <c r="M103" s="52">
        <v>41820</v>
      </c>
      <c r="N103" s="48"/>
      <c r="O103" s="35">
        <v>99000</v>
      </c>
      <c r="P103" s="35"/>
      <c r="Q103" s="35"/>
      <c r="R103" s="35"/>
      <c r="S103" s="41"/>
    </row>
    <row r="104" spans="1:19" s="15" customFormat="1" ht="26.25" customHeight="1" x14ac:dyDescent="0.2">
      <c r="A104" s="43" t="s">
        <v>195</v>
      </c>
      <c r="B104" s="46" t="s">
        <v>159</v>
      </c>
      <c r="C104" s="44" t="s">
        <v>209</v>
      </c>
      <c r="D104" s="34">
        <v>6980</v>
      </c>
      <c r="E104" s="46" t="s">
        <v>223</v>
      </c>
      <c r="F104" s="35">
        <v>99000</v>
      </c>
      <c r="G104" s="40">
        <v>99000</v>
      </c>
      <c r="H104" s="35">
        <v>0</v>
      </c>
      <c r="I104" s="35">
        <f t="shared" si="2"/>
        <v>99000</v>
      </c>
      <c r="J104" s="36">
        <f t="shared" si="3"/>
        <v>0</v>
      </c>
      <c r="K104" s="48" t="s">
        <v>83</v>
      </c>
      <c r="L104" s="48" t="s">
        <v>83</v>
      </c>
      <c r="M104" s="38">
        <v>41820</v>
      </c>
      <c r="N104" s="48"/>
      <c r="O104" s="35">
        <v>99000</v>
      </c>
      <c r="P104" s="35"/>
      <c r="Q104" s="35"/>
      <c r="R104" s="35"/>
      <c r="S104" s="41"/>
    </row>
    <row r="105" spans="1:19" s="15" customFormat="1" ht="26.25" customHeight="1" x14ac:dyDescent="0.2">
      <c r="A105" s="43" t="s">
        <v>196</v>
      </c>
      <c r="B105" s="46" t="s">
        <v>159</v>
      </c>
      <c r="C105" s="44" t="s">
        <v>210</v>
      </c>
      <c r="D105" s="34">
        <v>6987</v>
      </c>
      <c r="E105" s="46" t="s">
        <v>224</v>
      </c>
      <c r="F105" s="35">
        <f>99535*3</f>
        <v>298605</v>
      </c>
      <c r="G105" s="35">
        <f>99535*3</f>
        <v>298605</v>
      </c>
      <c r="H105" s="35">
        <v>0</v>
      </c>
      <c r="I105" s="35">
        <f t="shared" si="2"/>
        <v>298605</v>
      </c>
      <c r="J105" s="36">
        <f t="shared" si="3"/>
        <v>0</v>
      </c>
      <c r="K105" s="48" t="s">
        <v>83</v>
      </c>
      <c r="L105" s="48" t="s">
        <v>83</v>
      </c>
      <c r="M105" s="38">
        <v>41820</v>
      </c>
      <c r="N105" s="48" t="s">
        <v>84</v>
      </c>
      <c r="O105" s="35">
        <v>99535</v>
      </c>
      <c r="P105" s="35">
        <v>99535</v>
      </c>
      <c r="Q105" s="35">
        <v>99535</v>
      </c>
      <c r="R105" s="35"/>
      <c r="S105" s="41"/>
    </row>
    <row r="106" spans="1:19" s="15" customFormat="1" ht="26.25" customHeight="1" x14ac:dyDescent="0.2">
      <c r="A106" s="43" t="s">
        <v>227</v>
      </c>
      <c r="B106" s="46" t="s">
        <v>159</v>
      </c>
      <c r="C106" s="44" t="s">
        <v>232</v>
      </c>
      <c r="D106" s="47" t="s">
        <v>236</v>
      </c>
      <c r="E106" s="46" t="s">
        <v>237</v>
      </c>
      <c r="F106" s="35">
        <v>15522</v>
      </c>
      <c r="G106" s="40">
        <v>15522</v>
      </c>
      <c r="H106" s="35">
        <v>0</v>
      </c>
      <c r="I106" s="35">
        <f t="shared" si="2"/>
        <v>15522</v>
      </c>
      <c r="J106" s="36">
        <f t="shared" si="3"/>
        <v>0</v>
      </c>
      <c r="K106" s="48" t="s">
        <v>83</v>
      </c>
      <c r="L106" s="48" t="s">
        <v>83</v>
      </c>
      <c r="M106" s="38">
        <v>41851</v>
      </c>
      <c r="N106" s="48"/>
      <c r="O106" s="35">
        <v>15522</v>
      </c>
      <c r="P106" s="35"/>
      <c r="Q106" s="35"/>
      <c r="R106" s="35"/>
      <c r="S106" s="41"/>
    </row>
    <row r="107" spans="1:19" s="15" customFormat="1" ht="26.25" customHeight="1" x14ac:dyDescent="0.2">
      <c r="A107" s="43" t="s">
        <v>272</v>
      </c>
      <c r="B107" s="46" t="s">
        <v>159</v>
      </c>
      <c r="C107" s="44" t="s">
        <v>161</v>
      </c>
      <c r="D107" s="47" t="s">
        <v>293</v>
      </c>
      <c r="E107" s="46" t="s">
        <v>301</v>
      </c>
      <c r="F107" s="35">
        <v>15200</v>
      </c>
      <c r="G107" s="40">
        <v>5400</v>
      </c>
      <c r="H107" s="35">
        <v>15200</v>
      </c>
      <c r="I107" s="35">
        <f t="shared" si="2"/>
        <v>20600</v>
      </c>
      <c r="J107" s="36">
        <f t="shared" si="3"/>
        <v>2.8148148148148149</v>
      </c>
      <c r="K107" s="48" t="s">
        <v>83</v>
      </c>
      <c r="L107" s="48" t="s">
        <v>83</v>
      </c>
      <c r="M107" s="38">
        <v>41820</v>
      </c>
      <c r="N107" s="48" t="s">
        <v>86</v>
      </c>
      <c r="O107" s="35">
        <v>15200</v>
      </c>
      <c r="P107" s="35"/>
      <c r="Q107" s="35"/>
      <c r="R107" s="35"/>
      <c r="S107" s="41"/>
    </row>
    <row r="108" spans="1:19" s="15" customFormat="1" ht="26.25" customHeight="1" x14ac:dyDescent="0.2">
      <c r="A108" s="43" t="s">
        <v>273</v>
      </c>
      <c r="B108" s="46" t="s">
        <v>159</v>
      </c>
      <c r="C108" s="44" t="s">
        <v>286</v>
      </c>
      <c r="D108" s="47">
        <v>7058</v>
      </c>
      <c r="E108" s="46" t="s">
        <v>302</v>
      </c>
      <c r="F108" s="35">
        <v>20750</v>
      </c>
      <c r="G108" s="40">
        <v>20750</v>
      </c>
      <c r="H108" s="35">
        <v>0</v>
      </c>
      <c r="I108" s="35">
        <f t="shared" si="2"/>
        <v>20750</v>
      </c>
      <c r="J108" s="36">
        <f t="shared" si="3"/>
        <v>0</v>
      </c>
      <c r="K108" s="48" t="s">
        <v>83</v>
      </c>
      <c r="L108" s="48" t="s">
        <v>83</v>
      </c>
      <c r="M108" s="38">
        <v>41820</v>
      </c>
      <c r="N108" s="37"/>
      <c r="O108" s="35">
        <v>20750</v>
      </c>
      <c r="P108" s="35"/>
      <c r="Q108" s="35"/>
      <c r="R108" s="35"/>
      <c r="S108" s="41"/>
    </row>
    <row r="109" spans="1:19" s="15" customFormat="1" ht="26.25" customHeight="1" x14ac:dyDescent="0.2">
      <c r="A109" s="43" t="s">
        <v>274</v>
      </c>
      <c r="B109" s="46" t="s">
        <v>159</v>
      </c>
      <c r="C109" s="44" t="s">
        <v>287</v>
      </c>
      <c r="D109" s="34">
        <v>7059</v>
      </c>
      <c r="E109" s="46" t="s">
        <v>303</v>
      </c>
      <c r="F109" s="35">
        <v>35000</v>
      </c>
      <c r="G109" s="40">
        <v>35000</v>
      </c>
      <c r="H109" s="35">
        <v>0</v>
      </c>
      <c r="I109" s="35">
        <f t="shared" si="2"/>
        <v>35000</v>
      </c>
      <c r="J109" s="36">
        <f t="shared" si="3"/>
        <v>0</v>
      </c>
      <c r="K109" s="48" t="s">
        <v>83</v>
      </c>
      <c r="L109" s="48" t="s">
        <v>83</v>
      </c>
      <c r="M109" s="38">
        <v>41820</v>
      </c>
      <c r="N109" s="48"/>
      <c r="O109" s="35">
        <v>35000</v>
      </c>
      <c r="P109" s="35"/>
      <c r="Q109" s="35"/>
      <c r="R109" s="35"/>
      <c r="S109" s="41"/>
    </row>
    <row r="110" spans="1:19" s="15" customFormat="1" ht="26.25" customHeight="1" x14ac:dyDescent="0.2">
      <c r="A110" s="43" t="s">
        <v>275</v>
      </c>
      <c r="B110" s="46" t="s">
        <v>159</v>
      </c>
      <c r="C110" s="44" t="s">
        <v>288</v>
      </c>
      <c r="D110" s="34">
        <v>7061</v>
      </c>
      <c r="E110" s="46" t="s">
        <v>304</v>
      </c>
      <c r="F110" s="35">
        <v>25000</v>
      </c>
      <c r="G110" s="40">
        <v>25000</v>
      </c>
      <c r="H110" s="35">
        <v>0</v>
      </c>
      <c r="I110" s="35">
        <f t="shared" si="2"/>
        <v>25000</v>
      </c>
      <c r="J110" s="36">
        <f t="shared" si="3"/>
        <v>0</v>
      </c>
      <c r="K110" s="48" t="s">
        <v>83</v>
      </c>
      <c r="L110" s="48" t="s">
        <v>83</v>
      </c>
      <c r="M110" s="52">
        <v>41459</v>
      </c>
      <c r="N110" s="48"/>
      <c r="O110" s="35">
        <v>25000</v>
      </c>
      <c r="P110" s="35"/>
      <c r="Q110" s="35"/>
      <c r="R110" s="35"/>
      <c r="S110" s="41"/>
    </row>
    <row r="111" spans="1:19" s="15" customFormat="1" ht="18" customHeight="1" x14ac:dyDescent="0.2">
      <c r="A111" s="43" t="s">
        <v>310</v>
      </c>
      <c r="B111" s="46" t="s">
        <v>159</v>
      </c>
      <c r="C111" s="44" t="s">
        <v>319</v>
      </c>
      <c r="D111" s="34">
        <v>7021</v>
      </c>
      <c r="E111" s="46" t="s">
        <v>326</v>
      </c>
      <c r="F111" s="35">
        <v>99000</v>
      </c>
      <c r="G111" s="40">
        <v>99000</v>
      </c>
      <c r="H111" s="35">
        <v>0</v>
      </c>
      <c r="I111" s="35">
        <f t="shared" si="2"/>
        <v>99000</v>
      </c>
      <c r="J111" s="36">
        <f t="shared" si="3"/>
        <v>0</v>
      </c>
      <c r="K111" s="48" t="s">
        <v>83</v>
      </c>
      <c r="L111" s="48" t="s">
        <v>83</v>
      </c>
      <c r="M111" s="38">
        <v>41820</v>
      </c>
      <c r="N111" s="48"/>
      <c r="O111" s="35">
        <v>99000</v>
      </c>
      <c r="P111" s="35"/>
      <c r="Q111" s="49"/>
      <c r="R111" s="49"/>
      <c r="S111" s="41"/>
    </row>
    <row r="112" spans="1:19" s="15" customFormat="1" ht="26.25" customHeight="1" x14ac:dyDescent="0.2">
      <c r="A112" s="43" t="s">
        <v>312</v>
      </c>
      <c r="B112" s="46" t="s">
        <v>159</v>
      </c>
      <c r="C112" s="44" t="s">
        <v>320</v>
      </c>
      <c r="D112" s="34">
        <v>7032</v>
      </c>
      <c r="E112" s="46" t="s">
        <v>330</v>
      </c>
      <c r="F112" s="35">
        <v>56715</v>
      </c>
      <c r="G112" s="40">
        <v>86640</v>
      </c>
      <c r="H112" s="35">
        <v>56715</v>
      </c>
      <c r="I112" s="35">
        <f t="shared" si="2"/>
        <v>143355</v>
      </c>
      <c r="J112" s="36">
        <f t="shared" si="3"/>
        <v>0.65460526315789469</v>
      </c>
      <c r="K112" s="48" t="s">
        <v>83</v>
      </c>
      <c r="L112" s="48" t="s">
        <v>83</v>
      </c>
      <c r="M112" s="38">
        <v>41820</v>
      </c>
      <c r="N112" s="48" t="s">
        <v>86</v>
      </c>
      <c r="O112" s="35">
        <v>56715</v>
      </c>
      <c r="P112" s="35"/>
      <c r="Q112" s="35"/>
      <c r="R112" s="35"/>
      <c r="S112" s="41"/>
    </row>
    <row r="113" spans="1:19" s="15" customFormat="1" ht="26.25" customHeight="1" x14ac:dyDescent="0.2">
      <c r="A113" s="43" t="s">
        <v>314</v>
      </c>
      <c r="B113" s="46" t="s">
        <v>159</v>
      </c>
      <c r="C113" s="44" t="s">
        <v>322</v>
      </c>
      <c r="D113" s="47">
        <v>7110</v>
      </c>
      <c r="E113" s="46" t="s">
        <v>329</v>
      </c>
      <c r="F113" s="35">
        <v>99000</v>
      </c>
      <c r="G113" s="40">
        <v>99000</v>
      </c>
      <c r="H113" s="35">
        <v>0</v>
      </c>
      <c r="I113" s="35">
        <f t="shared" si="2"/>
        <v>99000</v>
      </c>
      <c r="J113" s="36">
        <f t="shared" si="3"/>
        <v>0</v>
      </c>
      <c r="K113" s="48" t="s">
        <v>83</v>
      </c>
      <c r="L113" s="48" t="s">
        <v>83</v>
      </c>
      <c r="M113" s="38">
        <v>41804</v>
      </c>
      <c r="N113" s="48"/>
      <c r="O113" s="35">
        <v>99000</v>
      </c>
      <c r="P113" s="35"/>
      <c r="Q113" s="35"/>
      <c r="R113" s="35"/>
      <c r="S113" s="41"/>
    </row>
    <row r="114" spans="1:19" s="15" customFormat="1" ht="26.25" customHeight="1" x14ac:dyDescent="0.2">
      <c r="A114" s="43" t="s">
        <v>401</v>
      </c>
      <c r="B114" s="46" t="s">
        <v>159</v>
      </c>
      <c r="C114" s="44" t="s">
        <v>407</v>
      </c>
      <c r="D114" s="34">
        <v>6894</v>
      </c>
      <c r="E114" s="46" t="s">
        <v>398</v>
      </c>
      <c r="F114" s="35">
        <v>19000</v>
      </c>
      <c r="G114" s="40">
        <v>19000</v>
      </c>
      <c r="H114" s="35">
        <v>0</v>
      </c>
      <c r="I114" s="35">
        <f t="shared" si="2"/>
        <v>19000</v>
      </c>
      <c r="J114" s="36">
        <f t="shared" si="3"/>
        <v>0</v>
      </c>
      <c r="K114" s="48" t="s">
        <v>83</v>
      </c>
      <c r="L114" s="48" t="s">
        <v>83</v>
      </c>
      <c r="M114" s="38">
        <v>41765</v>
      </c>
      <c r="N114" s="48"/>
      <c r="O114" s="35">
        <v>19000</v>
      </c>
      <c r="P114" s="35"/>
      <c r="Q114" s="35"/>
      <c r="R114" s="35"/>
      <c r="S114" s="41"/>
    </row>
    <row r="115" spans="1:19" s="15" customFormat="1" ht="26.25" customHeight="1" x14ac:dyDescent="0.2">
      <c r="A115" s="43" t="s">
        <v>402</v>
      </c>
      <c r="B115" s="46" t="s">
        <v>159</v>
      </c>
      <c r="C115" s="44" t="s">
        <v>407</v>
      </c>
      <c r="D115" s="34">
        <v>6903</v>
      </c>
      <c r="E115" s="46" t="s">
        <v>396</v>
      </c>
      <c r="F115" s="35">
        <v>23500</v>
      </c>
      <c r="G115" s="40">
        <v>23500</v>
      </c>
      <c r="H115" s="35">
        <v>0</v>
      </c>
      <c r="I115" s="35">
        <f t="shared" si="2"/>
        <v>23500</v>
      </c>
      <c r="J115" s="36">
        <f t="shared" si="3"/>
        <v>0</v>
      </c>
      <c r="K115" s="48" t="s">
        <v>83</v>
      </c>
      <c r="L115" s="48" t="s">
        <v>83</v>
      </c>
      <c r="M115" s="38">
        <v>41820</v>
      </c>
      <c r="N115" s="48"/>
      <c r="O115" s="35">
        <v>23500</v>
      </c>
      <c r="P115" s="35"/>
      <c r="Q115" s="35"/>
      <c r="R115" s="35"/>
      <c r="S115" s="41"/>
    </row>
    <row r="116" spans="1:19" s="15" customFormat="1" ht="38.25" customHeight="1" x14ac:dyDescent="0.2">
      <c r="A116" s="43" t="s">
        <v>412</v>
      </c>
      <c r="B116" s="46" t="s">
        <v>159</v>
      </c>
      <c r="C116" s="44" t="s">
        <v>415</v>
      </c>
      <c r="D116" s="34">
        <v>7153</v>
      </c>
      <c r="E116" s="46" t="s">
        <v>596</v>
      </c>
      <c r="F116" s="40">
        <f>66500*3</f>
        <v>199500</v>
      </c>
      <c r="G116" s="40">
        <f>66500*3</f>
        <v>199500</v>
      </c>
      <c r="H116" s="35">
        <v>0</v>
      </c>
      <c r="I116" s="35">
        <f t="shared" si="2"/>
        <v>199500</v>
      </c>
      <c r="J116" s="36">
        <f t="shared" si="3"/>
        <v>0</v>
      </c>
      <c r="K116" s="48" t="s">
        <v>83</v>
      </c>
      <c r="L116" s="48" t="s">
        <v>85</v>
      </c>
      <c r="M116" s="38">
        <v>41912</v>
      </c>
      <c r="N116" s="48" t="s">
        <v>84</v>
      </c>
      <c r="O116" s="35">
        <v>66500</v>
      </c>
      <c r="P116" s="35">
        <v>66500</v>
      </c>
      <c r="Q116" s="35">
        <v>66500</v>
      </c>
      <c r="R116" s="35"/>
      <c r="S116" s="41"/>
    </row>
    <row r="117" spans="1:19" s="15" customFormat="1" ht="26.25" customHeight="1" x14ac:dyDescent="0.2">
      <c r="A117" s="43" t="s">
        <v>429</v>
      </c>
      <c r="B117" s="46" t="s">
        <v>159</v>
      </c>
      <c r="C117" s="44" t="s">
        <v>134</v>
      </c>
      <c r="D117" s="34">
        <v>7256</v>
      </c>
      <c r="E117" s="46" t="s">
        <v>435</v>
      </c>
      <c r="F117" s="35">
        <v>8000</v>
      </c>
      <c r="G117" s="40">
        <v>8000</v>
      </c>
      <c r="H117" s="35">
        <v>0</v>
      </c>
      <c r="I117" s="35">
        <f t="shared" si="2"/>
        <v>8000</v>
      </c>
      <c r="J117" s="36">
        <f t="shared" si="3"/>
        <v>0</v>
      </c>
      <c r="K117" s="48" t="s">
        <v>83</v>
      </c>
      <c r="L117" s="48" t="s">
        <v>83</v>
      </c>
      <c r="M117" s="38">
        <v>41820</v>
      </c>
      <c r="N117" s="48"/>
      <c r="O117" s="35">
        <v>8000</v>
      </c>
      <c r="P117" s="35"/>
      <c r="Q117" s="35"/>
      <c r="R117" s="35"/>
      <c r="S117" s="41"/>
    </row>
    <row r="118" spans="1:19" s="15" customFormat="1" ht="26.25" customHeight="1" x14ac:dyDescent="0.2">
      <c r="A118" s="43" t="s">
        <v>454</v>
      </c>
      <c r="B118" s="46" t="s">
        <v>159</v>
      </c>
      <c r="C118" s="44" t="s">
        <v>466</v>
      </c>
      <c r="D118" s="47" t="s">
        <v>471</v>
      </c>
      <c r="E118" s="46" t="s">
        <v>464</v>
      </c>
      <c r="F118" s="35">
        <v>5850</v>
      </c>
      <c r="G118" s="40">
        <v>12189</v>
      </c>
      <c r="H118" s="35">
        <v>5850</v>
      </c>
      <c r="I118" s="35">
        <f t="shared" si="2"/>
        <v>18039</v>
      </c>
      <c r="J118" s="36">
        <f t="shared" si="3"/>
        <v>0.47994093034703422</v>
      </c>
      <c r="K118" s="48" t="s">
        <v>83</v>
      </c>
      <c r="L118" s="48" t="s">
        <v>83</v>
      </c>
      <c r="M118" s="38">
        <v>41820</v>
      </c>
      <c r="N118" s="48" t="s">
        <v>86</v>
      </c>
      <c r="O118" s="35">
        <v>5850</v>
      </c>
      <c r="P118" s="35"/>
      <c r="Q118" s="35"/>
      <c r="R118" s="35"/>
      <c r="S118" s="41"/>
    </row>
    <row r="119" spans="1:19" s="15" customFormat="1" ht="26.25" customHeight="1" x14ac:dyDescent="0.2">
      <c r="A119" s="43" t="s">
        <v>477</v>
      </c>
      <c r="B119" s="46" t="s">
        <v>159</v>
      </c>
      <c r="C119" s="44" t="s">
        <v>482</v>
      </c>
      <c r="D119" s="47">
        <v>7363</v>
      </c>
      <c r="E119" s="46" t="s">
        <v>486</v>
      </c>
      <c r="F119" s="35">
        <v>80000</v>
      </c>
      <c r="G119" s="40">
        <v>80000</v>
      </c>
      <c r="H119" s="35">
        <v>0</v>
      </c>
      <c r="I119" s="35">
        <f t="shared" si="2"/>
        <v>80000</v>
      </c>
      <c r="J119" s="36">
        <f t="shared" si="3"/>
        <v>0</v>
      </c>
      <c r="K119" s="48" t="s">
        <v>83</v>
      </c>
      <c r="L119" s="48" t="s">
        <v>83</v>
      </c>
      <c r="M119" s="38">
        <v>41820</v>
      </c>
      <c r="N119" s="48"/>
      <c r="O119" s="35">
        <v>80000</v>
      </c>
      <c r="P119" s="35"/>
      <c r="Q119" s="35"/>
      <c r="R119" s="35"/>
      <c r="S119" s="41"/>
    </row>
    <row r="120" spans="1:19" s="15" customFormat="1" ht="26.25" customHeight="1" x14ac:dyDescent="0.2">
      <c r="A120" s="43" t="s">
        <v>498</v>
      </c>
      <c r="B120" s="46" t="s">
        <v>159</v>
      </c>
      <c r="C120" s="44" t="s">
        <v>210</v>
      </c>
      <c r="D120" s="34">
        <v>7382</v>
      </c>
      <c r="E120" s="46" t="s">
        <v>511</v>
      </c>
      <c r="F120" s="35">
        <f>36332*3</f>
        <v>108996</v>
      </c>
      <c r="G120" s="40">
        <f>36332*3</f>
        <v>108996</v>
      </c>
      <c r="H120" s="35">
        <v>0</v>
      </c>
      <c r="I120" s="35">
        <f t="shared" si="2"/>
        <v>108996</v>
      </c>
      <c r="J120" s="36">
        <f t="shared" si="3"/>
        <v>0</v>
      </c>
      <c r="K120" s="48" t="s">
        <v>83</v>
      </c>
      <c r="L120" s="48" t="s">
        <v>83</v>
      </c>
      <c r="M120" s="38">
        <v>41979</v>
      </c>
      <c r="N120" s="48" t="s">
        <v>84</v>
      </c>
      <c r="O120" s="35">
        <v>36332</v>
      </c>
      <c r="P120" s="35">
        <v>36332</v>
      </c>
      <c r="Q120" s="35">
        <v>36332</v>
      </c>
      <c r="R120" s="35"/>
      <c r="S120" s="41"/>
    </row>
    <row r="121" spans="1:19" s="15" customFormat="1" ht="26.25" customHeight="1" x14ac:dyDescent="0.2">
      <c r="A121" s="43" t="s">
        <v>500</v>
      </c>
      <c r="B121" s="46" t="s">
        <v>159</v>
      </c>
      <c r="C121" s="44" t="s">
        <v>526</v>
      </c>
      <c r="D121" s="34">
        <v>7389</v>
      </c>
      <c r="E121" s="46" t="s">
        <v>513</v>
      </c>
      <c r="F121" s="35">
        <f>12420+13500+14500</f>
        <v>40420</v>
      </c>
      <c r="G121" s="35">
        <f>12420+13500+14500</f>
        <v>40420</v>
      </c>
      <c r="H121" s="35">
        <v>0</v>
      </c>
      <c r="I121" s="35">
        <f t="shared" si="2"/>
        <v>40420</v>
      </c>
      <c r="J121" s="36">
        <f t="shared" si="3"/>
        <v>0</v>
      </c>
      <c r="K121" s="48" t="s">
        <v>83</v>
      </c>
      <c r="L121" s="48" t="s">
        <v>83</v>
      </c>
      <c r="M121" s="38">
        <v>41907</v>
      </c>
      <c r="N121" s="48" t="s">
        <v>84</v>
      </c>
      <c r="O121" s="35">
        <v>12420</v>
      </c>
      <c r="P121" s="35">
        <v>13500</v>
      </c>
      <c r="Q121" s="35">
        <v>14500</v>
      </c>
      <c r="R121" s="35"/>
      <c r="S121" s="41"/>
    </row>
    <row r="122" spans="1:19" s="15" customFormat="1" ht="26.25" customHeight="1" x14ac:dyDescent="0.2">
      <c r="A122" s="43" t="s">
        <v>531</v>
      </c>
      <c r="B122" s="46" t="s">
        <v>159</v>
      </c>
      <c r="C122" s="44" t="s">
        <v>535</v>
      </c>
      <c r="D122" s="34">
        <v>7386</v>
      </c>
      <c r="E122" s="46" t="s">
        <v>540</v>
      </c>
      <c r="F122" s="35">
        <v>99000</v>
      </c>
      <c r="G122" s="40">
        <v>99000</v>
      </c>
      <c r="H122" s="35">
        <v>0</v>
      </c>
      <c r="I122" s="35">
        <f t="shared" si="2"/>
        <v>99000</v>
      </c>
      <c r="J122" s="36">
        <f t="shared" si="3"/>
        <v>0</v>
      </c>
      <c r="K122" s="48" t="s">
        <v>83</v>
      </c>
      <c r="L122" s="48" t="s">
        <v>83</v>
      </c>
      <c r="M122" s="38">
        <v>41820</v>
      </c>
      <c r="N122" s="48"/>
      <c r="O122" s="35">
        <v>99000</v>
      </c>
      <c r="P122" s="35"/>
      <c r="Q122" s="35"/>
      <c r="R122" s="35"/>
      <c r="S122" s="41"/>
    </row>
    <row r="123" spans="1:19" s="15" customFormat="1" ht="26.25" customHeight="1" x14ac:dyDescent="0.2">
      <c r="A123" s="43" t="s">
        <v>533</v>
      </c>
      <c r="B123" s="46" t="s">
        <v>159</v>
      </c>
      <c r="C123" s="44" t="s">
        <v>537</v>
      </c>
      <c r="D123" s="34">
        <v>7441</v>
      </c>
      <c r="E123" s="46" t="s">
        <v>542</v>
      </c>
      <c r="F123" s="35">
        <v>99000</v>
      </c>
      <c r="G123" s="40">
        <v>99000</v>
      </c>
      <c r="H123" s="35">
        <v>0</v>
      </c>
      <c r="I123" s="35">
        <f t="shared" si="2"/>
        <v>99000</v>
      </c>
      <c r="J123" s="36">
        <f t="shared" si="3"/>
        <v>0</v>
      </c>
      <c r="K123" s="48" t="s">
        <v>85</v>
      </c>
      <c r="L123" s="48" t="s">
        <v>85</v>
      </c>
      <c r="M123" s="38">
        <v>41820</v>
      </c>
      <c r="N123" s="48"/>
      <c r="O123" s="35">
        <v>99000</v>
      </c>
      <c r="P123" s="35"/>
      <c r="Q123" s="35"/>
      <c r="R123" s="35"/>
      <c r="S123" s="41"/>
    </row>
    <row r="124" spans="1:19" s="15" customFormat="1" ht="26.25" customHeight="1" x14ac:dyDescent="0.2">
      <c r="A124" s="43" t="s">
        <v>551</v>
      </c>
      <c r="B124" s="46" t="s">
        <v>159</v>
      </c>
      <c r="C124" s="44" t="s">
        <v>565</v>
      </c>
      <c r="D124" s="47">
        <v>7439</v>
      </c>
      <c r="E124" s="46" t="s">
        <v>576</v>
      </c>
      <c r="F124" s="35">
        <v>9250</v>
      </c>
      <c r="G124" s="40">
        <v>9250</v>
      </c>
      <c r="H124" s="35">
        <v>0</v>
      </c>
      <c r="I124" s="35">
        <f t="shared" si="2"/>
        <v>9250</v>
      </c>
      <c r="J124" s="36">
        <f t="shared" si="3"/>
        <v>0</v>
      </c>
      <c r="K124" s="48" t="s">
        <v>83</v>
      </c>
      <c r="L124" s="48" t="s">
        <v>83</v>
      </c>
      <c r="M124" s="38">
        <v>41943</v>
      </c>
      <c r="N124" s="48"/>
      <c r="O124" s="35">
        <v>9250</v>
      </c>
      <c r="P124" s="35"/>
      <c r="Q124" s="35"/>
      <c r="R124" s="35"/>
      <c r="S124" s="41"/>
    </row>
    <row r="125" spans="1:19" s="15" customFormat="1" ht="26.25" customHeight="1" x14ac:dyDescent="0.2">
      <c r="A125" s="43" t="s">
        <v>552</v>
      </c>
      <c r="B125" s="46" t="s">
        <v>159</v>
      </c>
      <c r="C125" s="44" t="s">
        <v>566</v>
      </c>
      <c r="D125" s="47">
        <v>7448</v>
      </c>
      <c r="E125" s="46" t="s">
        <v>577</v>
      </c>
      <c r="F125" s="35">
        <v>32250</v>
      </c>
      <c r="G125" s="40">
        <v>32250</v>
      </c>
      <c r="H125" s="35">
        <v>0</v>
      </c>
      <c r="I125" s="35">
        <f t="shared" si="2"/>
        <v>32250</v>
      </c>
      <c r="J125" s="36">
        <f t="shared" si="3"/>
        <v>0</v>
      </c>
      <c r="K125" s="48" t="s">
        <v>83</v>
      </c>
      <c r="L125" s="48" t="s">
        <v>83</v>
      </c>
      <c r="M125" s="38">
        <v>41820</v>
      </c>
      <c r="N125" s="48"/>
      <c r="O125" s="35">
        <v>32250</v>
      </c>
      <c r="P125" s="35"/>
      <c r="Q125" s="35"/>
      <c r="R125" s="35"/>
      <c r="S125" s="41"/>
    </row>
    <row r="126" spans="1:19" s="15" customFormat="1" ht="26.25" customHeight="1" x14ac:dyDescent="0.2">
      <c r="A126" s="43" t="s">
        <v>582</v>
      </c>
      <c r="B126" s="46" t="s">
        <v>159</v>
      </c>
      <c r="C126" s="44" t="s">
        <v>587</v>
      </c>
      <c r="D126" s="47">
        <v>7508</v>
      </c>
      <c r="E126" s="46" t="s">
        <v>591</v>
      </c>
      <c r="F126" s="35">
        <v>30000</v>
      </c>
      <c r="G126" s="40">
        <v>30000</v>
      </c>
      <c r="H126" s="35">
        <v>0</v>
      </c>
      <c r="I126" s="35">
        <f t="shared" si="2"/>
        <v>30000</v>
      </c>
      <c r="J126" s="36">
        <f t="shared" si="3"/>
        <v>0</v>
      </c>
      <c r="K126" s="48" t="s">
        <v>83</v>
      </c>
      <c r="L126" s="48" t="s">
        <v>83</v>
      </c>
      <c r="M126" s="38">
        <v>41957</v>
      </c>
      <c r="N126" s="48"/>
      <c r="O126" s="35">
        <v>30000</v>
      </c>
      <c r="P126" s="35"/>
      <c r="Q126" s="35"/>
      <c r="R126" s="35"/>
      <c r="S126" s="41"/>
    </row>
    <row r="127" spans="1:19" s="15" customFormat="1" ht="26.25" customHeight="1" x14ac:dyDescent="0.2">
      <c r="A127" s="43" t="s">
        <v>585</v>
      </c>
      <c r="B127" s="46" t="s">
        <v>159</v>
      </c>
      <c r="C127" s="44" t="s">
        <v>589</v>
      </c>
      <c r="D127" s="47">
        <v>7565</v>
      </c>
      <c r="E127" s="46" t="s">
        <v>594</v>
      </c>
      <c r="F127" s="35">
        <f>34560*3</f>
        <v>103680</v>
      </c>
      <c r="G127" s="40">
        <f>34560*3</f>
        <v>103680</v>
      </c>
      <c r="H127" s="35">
        <v>0</v>
      </c>
      <c r="I127" s="35">
        <f t="shared" si="2"/>
        <v>103680</v>
      </c>
      <c r="J127" s="36">
        <f t="shared" si="3"/>
        <v>0</v>
      </c>
      <c r="K127" s="48" t="s">
        <v>83</v>
      </c>
      <c r="L127" s="48" t="s">
        <v>83</v>
      </c>
      <c r="M127" s="38">
        <v>41989</v>
      </c>
      <c r="N127" s="48" t="s">
        <v>84</v>
      </c>
      <c r="O127" s="35">
        <v>34560</v>
      </c>
      <c r="P127" s="35">
        <v>34560</v>
      </c>
      <c r="Q127" s="35">
        <v>34560</v>
      </c>
      <c r="R127" s="35"/>
      <c r="S127" s="41"/>
    </row>
    <row r="128" spans="1:19" s="15" customFormat="1" ht="26.25" customHeight="1" x14ac:dyDescent="0.2">
      <c r="A128" s="43" t="s">
        <v>607</v>
      </c>
      <c r="B128" s="46" t="s">
        <v>159</v>
      </c>
      <c r="C128" s="44" t="s">
        <v>286</v>
      </c>
      <c r="D128" s="47">
        <v>7569</v>
      </c>
      <c r="E128" s="46" t="s">
        <v>600</v>
      </c>
      <c r="F128" s="35">
        <v>99000</v>
      </c>
      <c r="G128" s="40">
        <v>99000</v>
      </c>
      <c r="H128" s="35">
        <v>0</v>
      </c>
      <c r="I128" s="35">
        <f t="shared" si="2"/>
        <v>99000</v>
      </c>
      <c r="J128" s="36">
        <f t="shared" si="3"/>
        <v>0</v>
      </c>
      <c r="K128" s="48" t="s">
        <v>83</v>
      </c>
      <c r="L128" s="48" t="s">
        <v>83</v>
      </c>
      <c r="M128" s="38">
        <v>41985</v>
      </c>
      <c r="N128" s="48"/>
      <c r="O128" s="35">
        <v>99000</v>
      </c>
      <c r="P128" s="35"/>
      <c r="Q128" s="35"/>
      <c r="R128" s="35"/>
      <c r="S128" s="41"/>
    </row>
    <row r="129" spans="1:19" s="15" customFormat="1" ht="26.25" customHeight="1" x14ac:dyDescent="0.2">
      <c r="A129" s="43" t="s">
        <v>608</v>
      </c>
      <c r="B129" s="46" t="s">
        <v>159</v>
      </c>
      <c r="C129" s="44" t="s">
        <v>612</v>
      </c>
      <c r="D129" s="47">
        <v>7570</v>
      </c>
      <c r="E129" s="46" t="s">
        <v>601</v>
      </c>
      <c r="F129" s="35">
        <v>99000</v>
      </c>
      <c r="G129" s="40">
        <v>99000</v>
      </c>
      <c r="H129" s="35">
        <v>0</v>
      </c>
      <c r="I129" s="35">
        <f t="shared" si="2"/>
        <v>99000</v>
      </c>
      <c r="J129" s="36">
        <f t="shared" si="3"/>
        <v>0</v>
      </c>
      <c r="K129" s="48" t="s">
        <v>83</v>
      </c>
      <c r="L129" s="48" t="s">
        <v>83</v>
      </c>
      <c r="M129" s="38">
        <v>41985</v>
      </c>
      <c r="N129" s="48"/>
      <c r="O129" s="35">
        <v>99000</v>
      </c>
      <c r="P129" s="35"/>
      <c r="Q129" s="35"/>
      <c r="R129" s="35"/>
      <c r="S129" s="41"/>
    </row>
    <row r="130" spans="1:19" s="15" customFormat="1" ht="26.25" customHeight="1" x14ac:dyDescent="0.2">
      <c r="A130" s="43" t="s">
        <v>650</v>
      </c>
      <c r="B130" s="46" t="s">
        <v>159</v>
      </c>
      <c r="C130" s="44" t="s">
        <v>653</v>
      </c>
      <c r="D130" s="47" t="s">
        <v>655</v>
      </c>
      <c r="E130" s="46" t="s">
        <v>652</v>
      </c>
      <c r="F130" s="35">
        <v>84000</v>
      </c>
      <c r="G130" s="40">
        <v>15000</v>
      </c>
      <c r="H130" s="35">
        <v>84000</v>
      </c>
      <c r="I130" s="35">
        <f t="shared" ref="I130:I193" si="4">G130+H130</f>
        <v>99000</v>
      </c>
      <c r="J130" s="36">
        <f t="shared" ref="J130:J193" si="5">IF(G130=0,100%,(I130-G130)/G130)</f>
        <v>5.6</v>
      </c>
      <c r="K130" s="48" t="s">
        <v>83</v>
      </c>
      <c r="L130" s="48" t="s">
        <v>83</v>
      </c>
      <c r="M130" s="38">
        <v>41820</v>
      </c>
      <c r="N130" s="48" t="s">
        <v>86</v>
      </c>
      <c r="O130" s="35">
        <v>84000</v>
      </c>
      <c r="P130" s="35"/>
      <c r="Q130" s="35"/>
      <c r="R130" s="35"/>
      <c r="S130" s="41"/>
    </row>
    <row r="131" spans="1:19" s="15" customFormat="1" ht="26.25" customHeight="1" x14ac:dyDescent="0.2">
      <c r="A131" s="43" t="s">
        <v>667</v>
      </c>
      <c r="B131" s="46" t="s">
        <v>159</v>
      </c>
      <c r="C131" s="44" t="s">
        <v>669</v>
      </c>
      <c r="D131" s="47">
        <v>7728</v>
      </c>
      <c r="E131" s="46" t="s">
        <v>671</v>
      </c>
      <c r="F131" s="35">
        <v>97200</v>
      </c>
      <c r="G131" s="40">
        <v>97200</v>
      </c>
      <c r="H131" s="35">
        <v>0</v>
      </c>
      <c r="I131" s="35">
        <f t="shared" si="4"/>
        <v>97200</v>
      </c>
      <c r="J131" s="36">
        <f t="shared" si="5"/>
        <v>0</v>
      </c>
      <c r="K131" s="48" t="s">
        <v>83</v>
      </c>
      <c r="L131" s="48" t="s">
        <v>83</v>
      </c>
      <c r="M131" s="38">
        <v>41820</v>
      </c>
      <c r="N131" s="48"/>
      <c r="O131" s="35">
        <v>97200</v>
      </c>
      <c r="P131" s="35"/>
      <c r="Q131" s="35"/>
      <c r="R131" s="35"/>
      <c r="S131" s="41"/>
    </row>
    <row r="132" spans="1:19" s="15" customFormat="1" ht="26.25" customHeight="1" x14ac:dyDescent="0.2">
      <c r="A132" s="43" t="s">
        <v>668</v>
      </c>
      <c r="B132" s="46" t="s">
        <v>159</v>
      </c>
      <c r="C132" s="44" t="s">
        <v>670</v>
      </c>
      <c r="D132" s="47">
        <v>7735</v>
      </c>
      <c r="E132" s="46" t="s">
        <v>672</v>
      </c>
      <c r="F132" s="35">
        <v>99750</v>
      </c>
      <c r="G132" s="40">
        <v>99750</v>
      </c>
      <c r="H132" s="35">
        <v>0</v>
      </c>
      <c r="I132" s="35">
        <f t="shared" si="4"/>
        <v>99750</v>
      </c>
      <c r="J132" s="36">
        <f t="shared" si="5"/>
        <v>0</v>
      </c>
      <c r="K132" s="48" t="s">
        <v>83</v>
      </c>
      <c r="L132" s="48" t="s">
        <v>83</v>
      </c>
      <c r="M132" s="38">
        <v>41820</v>
      </c>
      <c r="N132" s="48"/>
      <c r="O132" s="35">
        <v>99750</v>
      </c>
      <c r="P132" s="35"/>
      <c r="Q132" s="35"/>
      <c r="R132" s="35"/>
      <c r="S132" s="41"/>
    </row>
    <row r="133" spans="1:19" s="15" customFormat="1" ht="26.25" customHeight="1" x14ac:dyDescent="0.2">
      <c r="A133" s="43" t="s">
        <v>682</v>
      </c>
      <c r="B133" s="46" t="s">
        <v>159</v>
      </c>
      <c r="C133" s="44" t="s">
        <v>708</v>
      </c>
      <c r="D133" s="47">
        <v>7802</v>
      </c>
      <c r="E133" s="46" t="s">
        <v>698</v>
      </c>
      <c r="F133" s="35">
        <v>17000</v>
      </c>
      <c r="G133" s="40">
        <v>17000</v>
      </c>
      <c r="H133" s="35">
        <v>0</v>
      </c>
      <c r="I133" s="35">
        <f t="shared" si="4"/>
        <v>17000</v>
      </c>
      <c r="J133" s="36">
        <f t="shared" si="5"/>
        <v>0</v>
      </c>
      <c r="K133" s="48" t="s">
        <v>83</v>
      </c>
      <c r="L133" s="48" t="s">
        <v>85</v>
      </c>
      <c r="M133" s="38">
        <v>41820</v>
      </c>
      <c r="N133" s="48"/>
      <c r="O133" s="35">
        <v>17000</v>
      </c>
      <c r="P133" s="35"/>
      <c r="Q133" s="35"/>
      <c r="R133" s="35"/>
      <c r="S133" s="41"/>
    </row>
    <row r="134" spans="1:19" s="15" customFormat="1" ht="26.25" customHeight="1" x14ac:dyDescent="0.2">
      <c r="A134" s="43" t="s">
        <v>721</v>
      </c>
      <c r="B134" s="46" t="s">
        <v>159</v>
      </c>
      <c r="C134" s="44" t="s">
        <v>734</v>
      </c>
      <c r="D134" s="47">
        <v>7873</v>
      </c>
      <c r="E134" s="46" t="s">
        <v>743</v>
      </c>
      <c r="F134" s="35">
        <v>35000</v>
      </c>
      <c r="G134" s="40">
        <v>35000</v>
      </c>
      <c r="H134" s="35">
        <v>0</v>
      </c>
      <c r="I134" s="35">
        <f t="shared" si="4"/>
        <v>35000</v>
      </c>
      <c r="J134" s="36">
        <f t="shared" si="5"/>
        <v>0</v>
      </c>
      <c r="K134" s="48" t="s">
        <v>83</v>
      </c>
      <c r="L134" s="48" t="s">
        <v>83</v>
      </c>
      <c r="M134" s="38">
        <v>41820</v>
      </c>
      <c r="N134" s="48"/>
      <c r="O134" s="35">
        <v>35000</v>
      </c>
      <c r="P134" s="35"/>
      <c r="Q134" s="35"/>
      <c r="R134" s="35"/>
      <c r="S134" s="41"/>
    </row>
    <row r="135" spans="1:19" s="15" customFormat="1" ht="26.25" customHeight="1" x14ac:dyDescent="0.2">
      <c r="A135" s="43" t="s">
        <v>724</v>
      </c>
      <c r="B135" s="46" t="s">
        <v>159</v>
      </c>
      <c r="C135" s="44" t="s">
        <v>466</v>
      </c>
      <c r="D135" s="47" t="s">
        <v>750</v>
      </c>
      <c r="E135" s="46" t="s">
        <v>464</v>
      </c>
      <c r="F135" s="35">
        <v>35000</v>
      </c>
      <c r="G135" s="40">
        <v>12189</v>
      </c>
      <c r="H135" s="35">
        <f>5850+35000</f>
        <v>40850</v>
      </c>
      <c r="I135" s="35">
        <f t="shared" si="4"/>
        <v>53039</v>
      </c>
      <c r="J135" s="36">
        <f t="shared" si="5"/>
        <v>3.3513823939617686</v>
      </c>
      <c r="K135" s="48" t="s">
        <v>83</v>
      </c>
      <c r="L135" s="48" t="s">
        <v>83</v>
      </c>
      <c r="M135" s="38">
        <v>41820</v>
      </c>
      <c r="N135" s="48" t="s">
        <v>86</v>
      </c>
      <c r="O135" s="35">
        <v>35000</v>
      </c>
      <c r="P135" s="35"/>
      <c r="Q135" s="35"/>
      <c r="R135" s="35"/>
      <c r="S135" s="41"/>
    </row>
    <row r="136" spans="1:19" s="15" customFormat="1" ht="26.25" customHeight="1" x14ac:dyDescent="0.2">
      <c r="A136" s="43" t="s">
        <v>752</v>
      </c>
      <c r="B136" s="46" t="s">
        <v>159</v>
      </c>
      <c r="C136" s="44" t="s">
        <v>758</v>
      </c>
      <c r="D136" s="47">
        <v>7882</v>
      </c>
      <c r="E136" s="46" t="s">
        <v>766</v>
      </c>
      <c r="F136" s="35">
        <v>93300</v>
      </c>
      <c r="G136" s="40">
        <v>93300</v>
      </c>
      <c r="H136" s="35">
        <v>0</v>
      </c>
      <c r="I136" s="35">
        <f t="shared" si="4"/>
        <v>93300</v>
      </c>
      <c r="J136" s="36">
        <f t="shared" si="5"/>
        <v>0</v>
      </c>
      <c r="K136" s="48" t="s">
        <v>83</v>
      </c>
      <c r="L136" s="48" t="s">
        <v>83</v>
      </c>
      <c r="M136" s="38">
        <v>41820</v>
      </c>
      <c r="N136" s="48"/>
      <c r="O136" s="35">
        <v>93300</v>
      </c>
      <c r="P136" s="35"/>
      <c r="Q136" s="35"/>
      <c r="R136" s="35"/>
      <c r="S136" s="41"/>
    </row>
    <row r="137" spans="1:19" s="15" customFormat="1" ht="26.25" customHeight="1" x14ac:dyDescent="0.2">
      <c r="A137" s="43" t="s">
        <v>753</v>
      </c>
      <c r="B137" s="46" t="s">
        <v>159</v>
      </c>
      <c r="C137" s="44" t="s">
        <v>288</v>
      </c>
      <c r="D137" s="47" t="s">
        <v>762</v>
      </c>
      <c r="E137" s="46" t="s">
        <v>765</v>
      </c>
      <c r="F137" s="35">
        <v>74000</v>
      </c>
      <c r="G137" s="40">
        <v>25000</v>
      </c>
      <c r="H137" s="35">
        <v>74000</v>
      </c>
      <c r="I137" s="35">
        <f t="shared" si="4"/>
        <v>99000</v>
      </c>
      <c r="J137" s="36">
        <f t="shared" si="5"/>
        <v>2.96</v>
      </c>
      <c r="K137" s="48" t="s">
        <v>83</v>
      </c>
      <c r="L137" s="48" t="s">
        <v>83</v>
      </c>
      <c r="M137" s="38">
        <v>41820</v>
      </c>
      <c r="N137" s="48" t="s">
        <v>86</v>
      </c>
      <c r="O137" s="35">
        <v>74000</v>
      </c>
      <c r="P137" s="35"/>
      <c r="Q137" s="35"/>
      <c r="R137" s="35"/>
      <c r="S137" s="41"/>
    </row>
    <row r="138" spans="1:19" s="15" customFormat="1" ht="26.25" customHeight="1" x14ac:dyDescent="0.2">
      <c r="A138" s="43" t="s">
        <v>814</v>
      </c>
      <c r="B138" s="46" t="s">
        <v>159</v>
      </c>
      <c r="C138" s="44" t="s">
        <v>820</v>
      </c>
      <c r="D138" s="47">
        <v>8053</v>
      </c>
      <c r="E138" s="46" t="s">
        <v>825</v>
      </c>
      <c r="F138" s="35">
        <v>29730</v>
      </c>
      <c r="G138" s="40">
        <v>29730</v>
      </c>
      <c r="H138" s="35">
        <v>0</v>
      </c>
      <c r="I138" s="35">
        <f t="shared" si="4"/>
        <v>29730</v>
      </c>
      <c r="J138" s="36">
        <f t="shared" si="5"/>
        <v>0</v>
      </c>
      <c r="K138" s="48" t="s">
        <v>83</v>
      </c>
      <c r="L138" s="48" t="s">
        <v>83</v>
      </c>
      <c r="M138" s="38">
        <v>41820</v>
      </c>
      <c r="N138" s="48"/>
      <c r="O138" s="35">
        <v>29730</v>
      </c>
      <c r="P138" s="35"/>
      <c r="Q138" s="35"/>
      <c r="R138" s="35"/>
      <c r="S138" s="41"/>
    </row>
    <row r="139" spans="1:19" s="15" customFormat="1" ht="26.25" customHeight="1" x14ac:dyDescent="0.2">
      <c r="A139" s="43" t="s">
        <v>829</v>
      </c>
      <c r="B139" s="46" t="s">
        <v>159</v>
      </c>
      <c r="C139" s="44" t="s">
        <v>831</v>
      </c>
      <c r="D139" s="47">
        <v>8099</v>
      </c>
      <c r="E139" s="46" t="s">
        <v>833</v>
      </c>
      <c r="F139" s="35">
        <v>82154</v>
      </c>
      <c r="G139" s="40">
        <v>82154</v>
      </c>
      <c r="H139" s="35">
        <v>0</v>
      </c>
      <c r="I139" s="35">
        <f t="shared" si="4"/>
        <v>82154</v>
      </c>
      <c r="J139" s="36">
        <f t="shared" si="5"/>
        <v>0</v>
      </c>
      <c r="K139" s="48" t="s">
        <v>83</v>
      </c>
      <c r="L139" s="48" t="s">
        <v>83</v>
      </c>
      <c r="M139" s="38">
        <v>41820</v>
      </c>
      <c r="N139" s="48"/>
      <c r="O139" s="35">
        <v>82154</v>
      </c>
      <c r="P139" s="35"/>
      <c r="Q139" s="35"/>
      <c r="R139" s="35"/>
      <c r="S139" s="41"/>
    </row>
    <row r="140" spans="1:19" s="15" customFormat="1" ht="26.25" customHeight="1" x14ac:dyDescent="0.2">
      <c r="A140" s="43" t="s">
        <v>681</v>
      </c>
      <c r="B140" s="46" t="s">
        <v>687</v>
      </c>
      <c r="C140" s="44" t="s">
        <v>707</v>
      </c>
      <c r="D140" s="47">
        <v>7801</v>
      </c>
      <c r="E140" s="46" t="s">
        <v>697</v>
      </c>
      <c r="F140" s="35">
        <v>11575</v>
      </c>
      <c r="G140" s="40">
        <v>11575</v>
      </c>
      <c r="H140" s="35">
        <v>0</v>
      </c>
      <c r="I140" s="35">
        <f t="shared" si="4"/>
        <v>11575</v>
      </c>
      <c r="J140" s="36">
        <f t="shared" si="5"/>
        <v>0</v>
      </c>
      <c r="K140" s="48" t="s">
        <v>83</v>
      </c>
      <c r="L140" s="48" t="s">
        <v>83</v>
      </c>
      <c r="M140" s="38">
        <v>42369</v>
      </c>
      <c r="N140" s="48"/>
      <c r="O140" s="35">
        <v>11575</v>
      </c>
      <c r="P140" s="35"/>
      <c r="Q140" s="35"/>
      <c r="R140" s="35"/>
      <c r="S140" s="41"/>
    </row>
    <row r="141" spans="1:19" s="15" customFormat="1" ht="38.25" customHeight="1" x14ac:dyDescent="0.2">
      <c r="A141" s="43" t="s">
        <v>34</v>
      </c>
      <c r="B141" s="46" t="s">
        <v>47</v>
      </c>
      <c r="C141" s="44" t="s">
        <v>63</v>
      </c>
      <c r="D141" s="47" t="s">
        <v>65</v>
      </c>
      <c r="E141" s="46" t="s">
        <v>82</v>
      </c>
      <c r="F141" s="35">
        <v>49000</v>
      </c>
      <c r="G141" s="40">
        <v>49000</v>
      </c>
      <c r="H141" s="35">
        <v>0</v>
      </c>
      <c r="I141" s="49">
        <f t="shared" si="4"/>
        <v>49000</v>
      </c>
      <c r="J141" s="51">
        <f t="shared" si="5"/>
        <v>0</v>
      </c>
      <c r="K141" s="48" t="s">
        <v>83</v>
      </c>
      <c r="L141" s="48" t="s">
        <v>83</v>
      </c>
      <c r="M141" s="38">
        <v>41820</v>
      </c>
      <c r="N141" s="48"/>
      <c r="O141" s="41">
        <v>49000</v>
      </c>
      <c r="P141" s="41"/>
      <c r="Q141" s="41"/>
      <c r="R141" s="41"/>
      <c r="S141" s="41"/>
    </row>
    <row r="142" spans="1:19" s="15" customFormat="1" ht="26.25" customHeight="1" x14ac:dyDescent="0.2">
      <c r="A142" s="43" t="s">
        <v>189</v>
      </c>
      <c r="B142" s="46" t="s">
        <v>47</v>
      </c>
      <c r="C142" s="44" t="s">
        <v>203</v>
      </c>
      <c r="D142" s="47" t="s">
        <v>212</v>
      </c>
      <c r="E142" s="46" t="s">
        <v>218</v>
      </c>
      <c r="F142" s="35">
        <v>85000</v>
      </c>
      <c r="G142" s="40">
        <v>85000</v>
      </c>
      <c r="H142" s="35">
        <v>0</v>
      </c>
      <c r="I142" s="35">
        <f t="shared" si="4"/>
        <v>85000</v>
      </c>
      <c r="J142" s="36">
        <f t="shared" si="5"/>
        <v>0</v>
      </c>
      <c r="K142" s="48" t="s">
        <v>83</v>
      </c>
      <c r="L142" s="48" t="s">
        <v>83</v>
      </c>
      <c r="M142" s="52">
        <v>41820</v>
      </c>
      <c r="N142" s="48"/>
      <c r="O142" s="35">
        <v>85000</v>
      </c>
      <c r="P142" s="35"/>
      <c r="Q142" s="35"/>
      <c r="R142" s="35"/>
      <c r="S142" s="41"/>
    </row>
    <row r="143" spans="1:19" s="15" customFormat="1" ht="26.25" customHeight="1" x14ac:dyDescent="0.2">
      <c r="A143" s="43" t="s">
        <v>190</v>
      </c>
      <c r="B143" s="46" t="s">
        <v>47</v>
      </c>
      <c r="C143" s="44" t="s">
        <v>204</v>
      </c>
      <c r="D143" s="47" t="s">
        <v>213</v>
      </c>
      <c r="E143" s="46" t="s">
        <v>219</v>
      </c>
      <c r="F143" s="35">
        <v>99000</v>
      </c>
      <c r="G143" s="40">
        <v>99000</v>
      </c>
      <c r="H143" s="35">
        <v>0</v>
      </c>
      <c r="I143" s="35">
        <f t="shared" si="4"/>
        <v>99000</v>
      </c>
      <c r="J143" s="36">
        <f t="shared" si="5"/>
        <v>0</v>
      </c>
      <c r="K143" s="48" t="s">
        <v>83</v>
      </c>
      <c r="L143" s="48" t="s">
        <v>83</v>
      </c>
      <c r="M143" s="38">
        <v>41820</v>
      </c>
      <c r="N143" s="48"/>
      <c r="O143" s="35">
        <v>99000</v>
      </c>
      <c r="P143" s="35"/>
      <c r="Q143" s="35"/>
      <c r="R143" s="35"/>
      <c r="S143" s="41"/>
    </row>
    <row r="144" spans="1:19" s="15" customFormat="1" ht="26.25" customHeight="1" x14ac:dyDescent="0.2">
      <c r="A144" s="43" t="s">
        <v>191</v>
      </c>
      <c r="B144" s="46" t="s">
        <v>47</v>
      </c>
      <c r="C144" s="44" t="s">
        <v>205</v>
      </c>
      <c r="D144" s="47" t="s">
        <v>214</v>
      </c>
      <c r="E144" s="46" t="s">
        <v>218</v>
      </c>
      <c r="F144" s="35">
        <v>99000</v>
      </c>
      <c r="G144" s="40">
        <v>99000</v>
      </c>
      <c r="H144" s="35">
        <v>0</v>
      </c>
      <c r="I144" s="35">
        <f t="shared" si="4"/>
        <v>99000</v>
      </c>
      <c r="J144" s="36">
        <f t="shared" si="5"/>
        <v>0</v>
      </c>
      <c r="K144" s="48" t="s">
        <v>83</v>
      </c>
      <c r="L144" s="48" t="s">
        <v>83</v>
      </c>
      <c r="M144" s="38">
        <v>41820</v>
      </c>
      <c r="N144" s="48"/>
      <c r="O144" s="35">
        <v>99000</v>
      </c>
      <c r="P144" s="35"/>
      <c r="Q144" s="35"/>
      <c r="R144" s="35"/>
      <c r="S144" s="41"/>
    </row>
    <row r="145" spans="1:19" s="15" customFormat="1" ht="38.25" customHeight="1" x14ac:dyDescent="0.2">
      <c r="A145" s="43" t="s">
        <v>332</v>
      </c>
      <c r="B145" s="46" t="s">
        <v>47</v>
      </c>
      <c r="C145" s="44" t="s">
        <v>339</v>
      </c>
      <c r="D145" s="47">
        <v>7165</v>
      </c>
      <c r="E145" s="46" t="s">
        <v>336</v>
      </c>
      <c r="F145" s="35">
        <v>99000</v>
      </c>
      <c r="G145" s="40">
        <v>99000</v>
      </c>
      <c r="H145" s="35">
        <v>0</v>
      </c>
      <c r="I145" s="35">
        <f t="shared" si="4"/>
        <v>99000</v>
      </c>
      <c r="J145" s="36">
        <f t="shared" si="5"/>
        <v>0</v>
      </c>
      <c r="K145" s="48" t="s">
        <v>83</v>
      </c>
      <c r="L145" s="48" t="s">
        <v>83</v>
      </c>
      <c r="M145" s="38">
        <v>41820</v>
      </c>
      <c r="N145" s="48"/>
      <c r="O145" s="35">
        <v>99000</v>
      </c>
      <c r="P145" s="35"/>
      <c r="Q145" s="35"/>
      <c r="R145" s="35"/>
      <c r="S145" s="41"/>
    </row>
    <row r="146" spans="1:19" s="15" customFormat="1" ht="26.25" customHeight="1" x14ac:dyDescent="0.2">
      <c r="A146" s="43" t="s">
        <v>333</v>
      </c>
      <c r="B146" s="46" t="s">
        <v>47</v>
      </c>
      <c r="C146" s="44" t="s">
        <v>340</v>
      </c>
      <c r="D146" s="47">
        <v>7263</v>
      </c>
      <c r="E146" s="46" t="s">
        <v>337</v>
      </c>
      <c r="F146" s="35">
        <v>50000</v>
      </c>
      <c r="G146" s="40">
        <v>50000</v>
      </c>
      <c r="H146" s="35">
        <v>0</v>
      </c>
      <c r="I146" s="35">
        <f t="shared" si="4"/>
        <v>50000</v>
      </c>
      <c r="J146" s="36">
        <f t="shared" si="5"/>
        <v>0</v>
      </c>
      <c r="K146" s="48" t="s">
        <v>83</v>
      </c>
      <c r="L146" s="48" t="s">
        <v>83</v>
      </c>
      <c r="M146" s="38">
        <v>41820</v>
      </c>
      <c r="N146" s="48"/>
      <c r="O146" s="35">
        <v>50000</v>
      </c>
      <c r="P146" s="35"/>
      <c r="Q146" s="35"/>
      <c r="R146" s="35"/>
      <c r="S146" s="41"/>
    </row>
    <row r="147" spans="1:19" s="15" customFormat="1" ht="26.25" customHeight="1" x14ac:dyDescent="0.2">
      <c r="A147" s="43" t="s">
        <v>334</v>
      </c>
      <c r="B147" s="46" t="s">
        <v>47</v>
      </c>
      <c r="C147" s="44" t="s">
        <v>341</v>
      </c>
      <c r="D147" s="47">
        <v>7240</v>
      </c>
      <c r="E147" s="46" t="s">
        <v>337</v>
      </c>
      <c r="F147" s="35">
        <v>50000</v>
      </c>
      <c r="G147" s="40">
        <v>50000</v>
      </c>
      <c r="H147" s="35">
        <v>0</v>
      </c>
      <c r="I147" s="35">
        <f t="shared" si="4"/>
        <v>50000</v>
      </c>
      <c r="J147" s="36">
        <f t="shared" si="5"/>
        <v>0</v>
      </c>
      <c r="K147" s="48" t="s">
        <v>83</v>
      </c>
      <c r="L147" s="48" t="s">
        <v>83</v>
      </c>
      <c r="M147" s="38">
        <v>41820</v>
      </c>
      <c r="N147" s="48"/>
      <c r="O147" s="35">
        <v>50000</v>
      </c>
      <c r="P147" s="35"/>
      <c r="Q147" s="35"/>
      <c r="R147" s="35"/>
      <c r="S147" s="41"/>
    </row>
    <row r="148" spans="1:19" s="15" customFormat="1" ht="26.25" customHeight="1" x14ac:dyDescent="0.2">
      <c r="A148" s="43" t="s">
        <v>335</v>
      </c>
      <c r="B148" s="46" t="s">
        <v>47</v>
      </c>
      <c r="C148" s="44" t="s">
        <v>342</v>
      </c>
      <c r="D148" s="47">
        <v>7170</v>
      </c>
      <c r="E148" s="46" t="s">
        <v>338</v>
      </c>
      <c r="F148" s="35">
        <v>50000</v>
      </c>
      <c r="G148" s="40">
        <v>50000</v>
      </c>
      <c r="H148" s="35">
        <v>0</v>
      </c>
      <c r="I148" s="35">
        <f t="shared" si="4"/>
        <v>50000</v>
      </c>
      <c r="J148" s="36">
        <f t="shared" si="5"/>
        <v>0</v>
      </c>
      <c r="K148" s="48" t="s">
        <v>83</v>
      </c>
      <c r="L148" s="48" t="s">
        <v>83</v>
      </c>
      <c r="M148" s="38">
        <v>41820</v>
      </c>
      <c r="N148" s="48"/>
      <c r="O148" s="35">
        <v>50000</v>
      </c>
      <c r="P148" s="35"/>
      <c r="Q148" s="35"/>
      <c r="R148" s="35"/>
      <c r="S148" s="41"/>
    </row>
    <row r="149" spans="1:19" s="15" customFormat="1" ht="38.25" customHeight="1" x14ac:dyDescent="0.2">
      <c r="A149" s="43" t="s">
        <v>343</v>
      </c>
      <c r="B149" s="46" t="s">
        <v>47</v>
      </c>
      <c r="C149" s="44" t="s">
        <v>368</v>
      </c>
      <c r="D149" s="47">
        <v>7268</v>
      </c>
      <c r="E149" s="46" t="s">
        <v>394</v>
      </c>
      <c r="F149" s="35">
        <v>25000</v>
      </c>
      <c r="G149" s="40">
        <v>25000</v>
      </c>
      <c r="H149" s="35">
        <v>0</v>
      </c>
      <c r="I149" s="35">
        <f t="shared" si="4"/>
        <v>25000</v>
      </c>
      <c r="J149" s="36">
        <f t="shared" si="5"/>
        <v>0</v>
      </c>
      <c r="K149" s="48" t="s">
        <v>83</v>
      </c>
      <c r="L149" s="48" t="s">
        <v>83</v>
      </c>
      <c r="M149" s="38">
        <v>41820</v>
      </c>
      <c r="N149" s="48"/>
      <c r="O149" s="35">
        <v>25000</v>
      </c>
      <c r="P149" s="35"/>
      <c r="Q149" s="35"/>
      <c r="R149" s="35"/>
      <c r="S149" s="41"/>
    </row>
    <row r="150" spans="1:19" s="15" customFormat="1" ht="38.25" customHeight="1" x14ac:dyDescent="0.2">
      <c r="A150" s="43" t="s">
        <v>344</v>
      </c>
      <c r="B150" s="46" t="s">
        <v>47</v>
      </c>
      <c r="C150" s="44" t="s">
        <v>369</v>
      </c>
      <c r="D150" s="47">
        <v>7171</v>
      </c>
      <c r="E150" s="46" t="s">
        <v>387</v>
      </c>
      <c r="F150" s="35">
        <v>25000</v>
      </c>
      <c r="G150" s="40">
        <v>25000</v>
      </c>
      <c r="H150" s="35">
        <v>0</v>
      </c>
      <c r="I150" s="35">
        <f t="shared" si="4"/>
        <v>25000</v>
      </c>
      <c r="J150" s="36">
        <f t="shared" si="5"/>
        <v>0</v>
      </c>
      <c r="K150" s="48" t="s">
        <v>83</v>
      </c>
      <c r="L150" s="48" t="s">
        <v>83</v>
      </c>
      <c r="M150" s="38">
        <v>41820</v>
      </c>
      <c r="N150" s="48"/>
      <c r="O150" s="35">
        <v>25000</v>
      </c>
      <c r="P150" s="35"/>
      <c r="Q150" s="35"/>
      <c r="R150" s="35"/>
      <c r="S150" s="41"/>
    </row>
    <row r="151" spans="1:19" s="15" customFormat="1" ht="38.25" customHeight="1" x14ac:dyDescent="0.2">
      <c r="A151" s="43" t="s">
        <v>345</v>
      </c>
      <c r="B151" s="46" t="s">
        <v>47</v>
      </c>
      <c r="C151" s="44" t="s">
        <v>370</v>
      </c>
      <c r="D151" s="47">
        <v>7248</v>
      </c>
      <c r="E151" s="46" t="s">
        <v>393</v>
      </c>
      <c r="F151" s="35">
        <v>15000</v>
      </c>
      <c r="G151" s="40">
        <v>15000</v>
      </c>
      <c r="H151" s="35">
        <v>0</v>
      </c>
      <c r="I151" s="35">
        <f t="shared" si="4"/>
        <v>15000</v>
      </c>
      <c r="J151" s="36">
        <f t="shared" si="5"/>
        <v>0</v>
      </c>
      <c r="K151" s="48" t="s">
        <v>83</v>
      </c>
      <c r="L151" s="48" t="s">
        <v>83</v>
      </c>
      <c r="M151" s="38">
        <v>41820</v>
      </c>
      <c r="N151" s="48"/>
      <c r="O151" s="35">
        <v>15000</v>
      </c>
      <c r="P151" s="35"/>
      <c r="Q151" s="35"/>
      <c r="R151" s="35"/>
      <c r="S151" s="41"/>
    </row>
    <row r="152" spans="1:19" s="15" customFormat="1" ht="26.25" customHeight="1" x14ac:dyDescent="0.2">
      <c r="A152" s="43" t="s">
        <v>346</v>
      </c>
      <c r="B152" s="46" t="s">
        <v>47</v>
      </c>
      <c r="C152" s="44" t="s">
        <v>370</v>
      </c>
      <c r="D152" s="47">
        <v>7247</v>
      </c>
      <c r="E152" s="46" t="s">
        <v>338</v>
      </c>
      <c r="F152" s="35">
        <v>15000</v>
      </c>
      <c r="G152" s="40">
        <v>15000</v>
      </c>
      <c r="H152" s="35">
        <v>0</v>
      </c>
      <c r="I152" s="35">
        <f t="shared" si="4"/>
        <v>15000</v>
      </c>
      <c r="J152" s="36">
        <f t="shared" si="5"/>
        <v>0</v>
      </c>
      <c r="K152" s="48" t="s">
        <v>83</v>
      </c>
      <c r="L152" s="48" t="s">
        <v>83</v>
      </c>
      <c r="M152" s="38">
        <v>41820</v>
      </c>
      <c r="N152" s="48"/>
      <c r="O152" s="35">
        <v>15000</v>
      </c>
      <c r="P152" s="35"/>
      <c r="Q152" s="35"/>
      <c r="R152" s="35"/>
      <c r="S152" s="41"/>
    </row>
    <row r="153" spans="1:19" s="15" customFormat="1" ht="26.25" customHeight="1" x14ac:dyDescent="0.2">
      <c r="A153" s="43" t="s">
        <v>347</v>
      </c>
      <c r="B153" s="46" t="s">
        <v>47</v>
      </c>
      <c r="C153" s="44" t="s">
        <v>371</v>
      </c>
      <c r="D153" s="47">
        <v>7269</v>
      </c>
      <c r="E153" s="46" t="s">
        <v>338</v>
      </c>
      <c r="F153" s="35">
        <v>25000</v>
      </c>
      <c r="G153" s="40">
        <v>25000</v>
      </c>
      <c r="H153" s="35">
        <v>0</v>
      </c>
      <c r="I153" s="35">
        <f t="shared" si="4"/>
        <v>25000</v>
      </c>
      <c r="J153" s="36">
        <f t="shared" si="5"/>
        <v>0</v>
      </c>
      <c r="K153" s="48" t="s">
        <v>83</v>
      </c>
      <c r="L153" s="48" t="s">
        <v>83</v>
      </c>
      <c r="M153" s="38">
        <v>41820</v>
      </c>
      <c r="N153" s="48"/>
      <c r="O153" s="35">
        <v>25000</v>
      </c>
      <c r="P153" s="35"/>
      <c r="Q153" s="35"/>
      <c r="R153" s="35"/>
      <c r="S153" s="41"/>
    </row>
    <row r="154" spans="1:19" s="15" customFormat="1" ht="26.25" customHeight="1" x14ac:dyDescent="0.2">
      <c r="A154" s="43" t="s">
        <v>348</v>
      </c>
      <c r="B154" s="46" t="s">
        <v>47</v>
      </c>
      <c r="C154" s="44" t="s">
        <v>372</v>
      </c>
      <c r="D154" s="47">
        <v>7267</v>
      </c>
      <c r="E154" s="46" t="s">
        <v>389</v>
      </c>
      <c r="F154" s="35">
        <v>20000</v>
      </c>
      <c r="G154" s="40">
        <v>20000</v>
      </c>
      <c r="H154" s="35">
        <v>0</v>
      </c>
      <c r="I154" s="35">
        <f t="shared" si="4"/>
        <v>20000</v>
      </c>
      <c r="J154" s="36">
        <f t="shared" si="5"/>
        <v>0</v>
      </c>
      <c r="K154" s="48" t="s">
        <v>83</v>
      </c>
      <c r="L154" s="48" t="s">
        <v>83</v>
      </c>
      <c r="M154" s="38">
        <v>41820</v>
      </c>
      <c r="N154" s="48"/>
      <c r="O154" s="35">
        <v>20000</v>
      </c>
      <c r="P154" s="35"/>
      <c r="Q154" s="35"/>
      <c r="R154" s="35"/>
      <c r="S154" s="41"/>
    </row>
    <row r="155" spans="1:19" s="15" customFormat="1" ht="26.25" customHeight="1" x14ac:dyDescent="0.2">
      <c r="A155" s="43" t="s">
        <v>349</v>
      </c>
      <c r="B155" s="46" t="s">
        <v>47</v>
      </c>
      <c r="C155" s="44" t="s">
        <v>373</v>
      </c>
      <c r="D155" s="47">
        <v>7266</v>
      </c>
      <c r="E155" s="46" t="s">
        <v>337</v>
      </c>
      <c r="F155" s="35">
        <v>15000</v>
      </c>
      <c r="G155" s="40">
        <v>15000</v>
      </c>
      <c r="H155" s="35">
        <v>0</v>
      </c>
      <c r="I155" s="35">
        <f t="shared" si="4"/>
        <v>15000</v>
      </c>
      <c r="J155" s="36">
        <f t="shared" si="5"/>
        <v>0</v>
      </c>
      <c r="K155" s="48" t="s">
        <v>83</v>
      </c>
      <c r="L155" s="48" t="s">
        <v>83</v>
      </c>
      <c r="M155" s="38">
        <v>41820</v>
      </c>
      <c r="N155" s="48"/>
      <c r="O155" s="35">
        <v>15000</v>
      </c>
      <c r="P155" s="35"/>
      <c r="Q155" s="35"/>
      <c r="R155" s="35"/>
      <c r="S155" s="41"/>
    </row>
    <row r="156" spans="1:19" s="15" customFormat="1" ht="26.25" customHeight="1" x14ac:dyDescent="0.2">
      <c r="A156" s="43" t="s">
        <v>350</v>
      </c>
      <c r="B156" s="46" t="s">
        <v>47</v>
      </c>
      <c r="C156" s="44" t="s">
        <v>374</v>
      </c>
      <c r="D156" s="47">
        <v>7265</v>
      </c>
      <c r="E156" s="46" t="s">
        <v>338</v>
      </c>
      <c r="F156" s="35">
        <v>20000</v>
      </c>
      <c r="G156" s="40">
        <v>20000</v>
      </c>
      <c r="H156" s="35">
        <v>0</v>
      </c>
      <c r="I156" s="35">
        <f t="shared" si="4"/>
        <v>20000</v>
      </c>
      <c r="J156" s="36">
        <f t="shared" si="5"/>
        <v>0</v>
      </c>
      <c r="K156" s="48" t="s">
        <v>83</v>
      </c>
      <c r="L156" s="48" t="s">
        <v>83</v>
      </c>
      <c r="M156" s="38">
        <v>41820</v>
      </c>
      <c r="N156" s="48"/>
      <c r="O156" s="35">
        <v>20000</v>
      </c>
      <c r="P156" s="35"/>
      <c r="Q156" s="35"/>
      <c r="R156" s="35"/>
      <c r="S156" s="41"/>
    </row>
    <row r="157" spans="1:19" s="15" customFormat="1" ht="26.25" customHeight="1" x14ac:dyDescent="0.2">
      <c r="A157" s="43" t="s">
        <v>351</v>
      </c>
      <c r="B157" s="46" t="s">
        <v>47</v>
      </c>
      <c r="C157" s="44" t="s">
        <v>375</v>
      </c>
      <c r="D157" s="47">
        <v>7264</v>
      </c>
      <c r="E157" s="46" t="s">
        <v>338</v>
      </c>
      <c r="F157" s="35">
        <v>20000</v>
      </c>
      <c r="G157" s="40">
        <v>20000</v>
      </c>
      <c r="H157" s="35">
        <v>0</v>
      </c>
      <c r="I157" s="35">
        <f t="shared" si="4"/>
        <v>20000</v>
      </c>
      <c r="J157" s="36">
        <f t="shared" si="5"/>
        <v>0</v>
      </c>
      <c r="K157" s="48" t="s">
        <v>83</v>
      </c>
      <c r="L157" s="48" t="s">
        <v>83</v>
      </c>
      <c r="M157" s="38">
        <v>41820</v>
      </c>
      <c r="N157" s="48"/>
      <c r="O157" s="35">
        <v>20000</v>
      </c>
      <c r="P157" s="35"/>
      <c r="Q157" s="35"/>
      <c r="R157" s="35"/>
      <c r="S157" s="41"/>
    </row>
    <row r="158" spans="1:19" s="15" customFormat="1" ht="38.25" customHeight="1" x14ac:dyDescent="0.2">
      <c r="A158" s="43" t="s">
        <v>352</v>
      </c>
      <c r="B158" s="46" t="s">
        <v>47</v>
      </c>
      <c r="C158" s="44" t="s">
        <v>376</v>
      </c>
      <c r="D158" s="47">
        <v>7262</v>
      </c>
      <c r="E158" s="46" t="s">
        <v>391</v>
      </c>
      <c r="F158" s="35">
        <v>20000</v>
      </c>
      <c r="G158" s="40">
        <v>20000</v>
      </c>
      <c r="H158" s="35">
        <v>0</v>
      </c>
      <c r="I158" s="35">
        <f t="shared" si="4"/>
        <v>20000</v>
      </c>
      <c r="J158" s="36">
        <f t="shared" si="5"/>
        <v>0</v>
      </c>
      <c r="K158" s="48" t="s">
        <v>83</v>
      </c>
      <c r="L158" s="48" t="s">
        <v>83</v>
      </c>
      <c r="M158" s="38">
        <v>41820</v>
      </c>
      <c r="N158" s="48"/>
      <c r="O158" s="35">
        <v>20000</v>
      </c>
      <c r="P158" s="35"/>
      <c r="Q158" s="35"/>
      <c r="R158" s="35"/>
      <c r="S158" s="41"/>
    </row>
    <row r="159" spans="1:19" s="15" customFormat="1" ht="38.25" customHeight="1" x14ac:dyDescent="0.2">
      <c r="A159" s="43" t="s">
        <v>353</v>
      </c>
      <c r="B159" s="46" t="s">
        <v>47</v>
      </c>
      <c r="C159" s="44" t="s">
        <v>376</v>
      </c>
      <c r="D159" s="47">
        <v>7261</v>
      </c>
      <c r="E159" s="46" t="s">
        <v>392</v>
      </c>
      <c r="F159" s="35">
        <v>15000</v>
      </c>
      <c r="G159" s="40">
        <v>15000</v>
      </c>
      <c r="H159" s="35">
        <v>0</v>
      </c>
      <c r="I159" s="35">
        <f t="shared" si="4"/>
        <v>15000</v>
      </c>
      <c r="J159" s="36">
        <f t="shared" si="5"/>
        <v>0</v>
      </c>
      <c r="K159" s="48" t="s">
        <v>83</v>
      </c>
      <c r="L159" s="48" t="s">
        <v>83</v>
      </c>
      <c r="M159" s="38">
        <v>41820</v>
      </c>
      <c r="N159" s="48"/>
      <c r="O159" s="35">
        <v>15000</v>
      </c>
      <c r="P159" s="35"/>
      <c r="Q159" s="35"/>
      <c r="R159" s="35"/>
      <c r="S159" s="41"/>
    </row>
    <row r="160" spans="1:19" s="15" customFormat="1" ht="26.25" customHeight="1" x14ac:dyDescent="0.2">
      <c r="A160" s="43" t="s">
        <v>354</v>
      </c>
      <c r="B160" s="46" t="s">
        <v>47</v>
      </c>
      <c r="C160" s="44" t="s">
        <v>376</v>
      </c>
      <c r="D160" s="47">
        <v>7260</v>
      </c>
      <c r="E160" s="46" t="s">
        <v>337</v>
      </c>
      <c r="F160" s="35">
        <v>20000</v>
      </c>
      <c r="G160" s="40">
        <v>20000</v>
      </c>
      <c r="H160" s="35">
        <v>0</v>
      </c>
      <c r="I160" s="35">
        <f t="shared" si="4"/>
        <v>20000</v>
      </c>
      <c r="J160" s="36">
        <f t="shared" si="5"/>
        <v>0</v>
      </c>
      <c r="K160" s="48" t="s">
        <v>83</v>
      </c>
      <c r="L160" s="48" t="s">
        <v>83</v>
      </c>
      <c r="M160" s="38">
        <v>41820</v>
      </c>
      <c r="N160" s="48"/>
      <c r="O160" s="35">
        <v>20000</v>
      </c>
      <c r="P160" s="35"/>
      <c r="Q160" s="35"/>
      <c r="R160" s="35"/>
      <c r="S160" s="41"/>
    </row>
    <row r="161" spans="1:19" s="15" customFormat="1" ht="26.25" customHeight="1" x14ac:dyDescent="0.2">
      <c r="A161" s="43" t="s">
        <v>355</v>
      </c>
      <c r="B161" s="46" t="s">
        <v>47</v>
      </c>
      <c r="C161" s="44" t="s">
        <v>377</v>
      </c>
      <c r="D161" s="47">
        <v>7259</v>
      </c>
      <c r="E161" s="46" t="s">
        <v>338</v>
      </c>
      <c r="F161" s="35">
        <v>25000</v>
      </c>
      <c r="G161" s="40">
        <v>25000</v>
      </c>
      <c r="H161" s="35">
        <v>0</v>
      </c>
      <c r="I161" s="35">
        <f t="shared" si="4"/>
        <v>25000</v>
      </c>
      <c r="J161" s="36">
        <f t="shared" si="5"/>
        <v>0</v>
      </c>
      <c r="K161" s="48" t="s">
        <v>83</v>
      </c>
      <c r="L161" s="48" t="s">
        <v>83</v>
      </c>
      <c r="M161" s="38">
        <v>41820</v>
      </c>
      <c r="N161" s="48"/>
      <c r="O161" s="35">
        <v>25000</v>
      </c>
      <c r="P161" s="35"/>
      <c r="Q161" s="35"/>
      <c r="R161" s="35"/>
      <c r="S161" s="41"/>
    </row>
    <row r="162" spans="1:19" s="15" customFormat="1" ht="26.25" customHeight="1" x14ac:dyDescent="0.2">
      <c r="A162" s="43" t="s">
        <v>356</v>
      </c>
      <c r="B162" s="46" t="s">
        <v>47</v>
      </c>
      <c r="C162" s="44" t="s">
        <v>378</v>
      </c>
      <c r="D162" s="47">
        <v>7246</v>
      </c>
      <c r="E162" s="46" t="s">
        <v>338</v>
      </c>
      <c r="F162" s="35">
        <v>20000</v>
      </c>
      <c r="G162" s="40">
        <v>20000</v>
      </c>
      <c r="H162" s="35">
        <v>0</v>
      </c>
      <c r="I162" s="35">
        <f t="shared" si="4"/>
        <v>20000</v>
      </c>
      <c r="J162" s="36">
        <f t="shared" si="5"/>
        <v>0</v>
      </c>
      <c r="K162" s="48" t="s">
        <v>83</v>
      </c>
      <c r="L162" s="48" t="s">
        <v>83</v>
      </c>
      <c r="M162" s="38">
        <v>41820</v>
      </c>
      <c r="N162" s="48"/>
      <c r="O162" s="35">
        <v>20000</v>
      </c>
      <c r="P162" s="35"/>
      <c r="Q162" s="35"/>
      <c r="R162" s="35"/>
      <c r="S162" s="41"/>
    </row>
    <row r="163" spans="1:19" s="15" customFormat="1" ht="26.25" customHeight="1" x14ac:dyDescent="0.2">
      <c r="A163" s="43" t="s">
        <v>357</v>
      </c>
      <c r="B163" s="46" t="s">
        <v>47</v>
      </c>
      <c r="C163" s="44" t="s">
        <v>379</v>
      </c>
      <c r="D163" s="47">
        <v>7245</v>
      </c>
      <c r="E163" s="46" t="s">
        <v>338</v>
      </c>
      <c r="F163" s="35">
        <v>30000</v>
      </c>
      <c r="G163" s="40">
        <v>30000</v>
      </c>
      <c r="H163" s="35">
        <v>0</v>
      </c>
      <c r="I163" s="35">
        <f t="shared" si="4"/>
        <v>30000</v>
      </c>
      <c r="J163" s="36">
        <f t="shared" si="5"/>
        <v>0</v>
      </c>
      <c r="K163" s="48" t="s">
        <v>83</v>
      </c>
      <c r="L163" s="48" t="s">
        <v>83</v>
      </c>
      <c r="M163" s="38">
        <v>41820</v>
      </c>
      <c r="N163" s="48"/>
      <c r="O163" s="35">
        <v>30000</v>
      </c>
      <c r="P163" s="35"/>
      <c r="Q163" s="35"/>
      <c r="R163" s="35"/>
      <c r="S163" s="41"/>
    </row>
    <row r="164" spans="1:19" s="15" customFormat="1" ht="26.25" customHeight="1" x14ac:dyDescent="0.2">
      <c r="A164" s="43" t="s">
        <v>358</v>
      </c>
      <c r="B164" s="46" t="s">
        <v>47</v>
      </c>
      <c r="C164" s="44" t="s">
        <v>380</v>
      </c>
      <c r="D164" s="47">
        <v>7244</v>
      </c>
      <c r="E164" s="46" t="s">
        <v>338</v>
      </c>
      <c r="F164" s="35">
        <v>20000</v>
      </c>
      <c r="G164" s="35">
        <v>20000</v>
      </c>
      <c r="H164" s="35">
        <v>0</v>
      </c>
      <c r="I164" s="35">
        <f t="shared" si="4"/>
        <v>20000</v>
      </c>
      <c r="J164" s="36">
        <f t="shared" si="5"/>
        <v>0</v>
      </c>
      <c r="K164" s="48" t="s">
        <v>83</v>
      </c>
      <c r="L164" s="48" t="s">
        <v>83</v>
      </c>
      <c r="M164" s="38">
        <v>41820</v>
      </c>
      <c r="N164" s="48"/>
      <c r="O164" s="35">
        <v>20000</v>
      </c>
      <c r="P164" s="35"/>
      <c r="Q164" s="35"/>
      <c r="R164" s="35"/>
      <c r="S164" s="41"/>
    </row>
    <row r="165" spans="1:19" s="15" customFormat="1" ht="26.25" customHeight="1" x14ac:dyDescent="0.2">
      <c r="A165" s="43" t="s">
        <v>359</v>
      </c>
      <c r="B165" s="46" t="s">
        <v>47</v>
      </c>
      <c r="C165" s="44" t="s">
        <v>381</v>
      </c>
      <c r="D165" s="47">
        <v>7243</v>
      </c>
      <c r="E165" s="46" t="s">
        <v>338</v>
      </c>
      <c r="F165" s="35">
        <v>20000</v>
      </c>
      <c r="G165" s="35">
        <v>20000</v>
      </c>
      <c r="H165" s="35">
        <v>0</v>
      </c>
      <c r="I165" s="35">
        <f t="shared" si="4"/>
        <v>20000</v>
      </c>
      <c r="J165" s="36">
        <f t="shared" si="5"/>
        <v>0</v>
      </c>
      <c r="K165" s="48" t="s">
        <v>83</v>
      </c>
      <c r="L165" s="48" t="s">
        <v>83</v>
      </c>
      <c r="M165" s="38">
        <v>41820</v>
      </c>
      <c r="N165" s="48"/>
      <c r="O165" s="35">
        <v>20000</v>
      </c>
      <c r="P165" s="35"/>
      <c r="Q165" s="35"/>
      <c r="R165" s="35"/>
      <c r="S165" s="41"/>
    </row>
    <row r="166" spans="1:19" s="15" customFormat="1" ht="38.25" customHeight="1" x14ac:dyDescent="0.2">
      <c r="A166" s="43" t="s">
        <v>360</v>
      </c>
      <c r="B166" s="46" t="s">
        <v>47</v>
      </c>
      <c r="C166" s="44" t="s">
        <v>382</v>
      </c>
      <c r="D166" s="47">
        <v>7242</v>
      </c>
      <c r="E166" s="46" t="s">
        <v>390</v>
      </c>
      <c r="F166" s="35">
        <v>25000</v>
      </c>
      <c r="G166" s="40">
        <v>25000</v>
      </c>
      <c r="H166" s="35">
        <v>0</v>
      </c>
      <c r="I166" s="35">
        <f t="shared" si="4"/>
        <v>25000</v>
      </c>
      <c r="J166" s="36">
        <f t="shared" si="5"/>
        <v>0</v>
      </c>
      <c r="K166" s="48" t="s">
        <v>83</v>
      </c>
      <c r="L166" s="48" t="s">
        <v>83</v>
      </c>
      <c r="M166" s="38">
        <v>41820</v>
      </c>
      <c r="N166" s="48"/>
      <c r="O166" s="35">
        <v>25000</v>
      </c>
      <c r="P166" s="35"/>
      <c r="Q166" s="35"/>
      <c r="R166" s="35"/>
      <c r="S166" s="41"/>
    </row>
    <row r="167" spans="1:19" s="15" customFormat="1" ht="26.25" customHeight="1" x14ac:dyDescent="0.2">
      <c r="A167" s="43" t="s">
        <v>361</v>
      </c>
      <c r="B167" s="46" t="s">
        <v>47</v>
      </c>
      <c r="C167" s="44" t="s">
        <v>382</v>
      </c>
      <c r="D167" s="47">
        <v>7241</v>
      </c>
      <c r="E167" s="46" t="s">
        <v>338</v>
      </c>
      <c r="F167" s="35">
        <v>20000</v>
      </c>
      <c r="G167" s="40">
        <v>20000</v>
      </c>
      <c r="H167" s="35">
        <v>0</v>
      </c>
      <c r="I167" s="35">
        <f t="shared" si="4"/>
        <v>20000</v>
      </c>
      <c r="J167" s="36">
        <f t="shared" si="5"/>
        <v>0</v>
      </c>
      <c r="K167" s="48" t="s">
        <v>83</v>
      </c>
      <c r="L167" s="48" t="s">
        <v>83</v>
      </c>
      <c r="M167" s="38">
        <v>41820</v>
      </c>
      <c r="N167" s="48"/>
      <c r="O167" s="35">
        <v>20000</v>
      </c>
      <c r="P167" s="35"/>
      <c r="Q167" s="35"/>
      <c r="R167" s="35"/>
      <c r="S167" s="41"/>
    </row>
    <row r="168" spans="1:19" s="15" customFormat="1" ht="26.25" customHeight="1" x14ac:dyDescent="0.2">
      <c r="A168" s="43" t="s">
        <v>362</v>
      </c>
      <c r="B168" s="46" t="s">
        <v>47</v>
      </c>
      <c r="C168" s="44" t="s">
        <v>383</v>
      </c>
      <c r="D168" s="47">
        <v>7172</v>
      </c>
      <c r="E168" s="46" t="s">
        <v>338</v>
      </c>
      <c r="F168" s="35">
        <v>25000</v>
      </c>
      <c r="G168" s="40">
        <v>25000</v>
      </c>
      <c r="H168" s="35">
        <v>0</v>
      </c>
      <c r="I168" s="35">
        <f t="shared" si="4"/>
        <v>25000</v>
      </c>
      <c r="J168" s="36">
        <f t="shared" si="5"/>
        <v>0</v>
      </c>
      <c r="K168" s="48" t="s">
        <v>83</v>
      </c>
      <c r="L168" s="48" t="s">
        <v>83</v>
      </c>
      <c r="M168" s="38">
        <v>41820</v>
      </c>
      <c r="N168" s="48"/>
      <c r="O168" s="35">
        <v>25000</v>
      </c>
      <c r="P168" s="35"/>
      <c r="Q168" s="35"/>
      <c r="R168" s="35"/>
      <c r="S168" s="41"/>
    </row>
    <row r="169" spans="1:19" s="15" customFormat="1" ht="26.25" customHeight="1" x14ac:dyDescent="0.2">
      <c r="A169" s="43" t="s">
        <v>364</v>
      </c>
      <c r="B169" s="46" t="s">
        <v>47</v>
      </c>
      <c r="C169" s="44" t="s">
        <v>384</v>
      </c>
      <c r="D169" s="47">
        <v>7169</v>
      </c>
      <c r="E169" s="46" t="s">
        <v>389</v>
      </c>
      <c r="F169" s="35">
        <v>20000</v>
      </c>
      <c r="G169" s="40">
        <v>20000</v>
      </c>
      <c r="H169" s="35">
        <v>0</v>
      </c>
      <c r="I169" s="35">
        <f t="shared" si="4"/>
        <v>20000</v>
      </c>
      <c r="J169" s="36">
        <f t="shared" si="5"/>
        <v>0</v>
      </c>
      <c r="K169" s="48" t="s">
        <v>83</v>
      </c>
      <c r="L169" s="48" t="s">
        <v>83</v>
      </c>
      <c r="M169" s="38">
        <v>41820</v>
      </c>
      <c r="N169" s="48"/>
      <c r="O169" s="35">
        <v>20000</v>
      </c>
      <c r="P169" s="35"/>
      <c r="Q169" s="35"/>
      <c r="R169" s="35"/>
      <c r="S169" s="41"/>
    </row>
    <row r="170" spans="1:19" s="15" customFormat="1" ht="26.25" customHeight="1" x14ac:dyDescent="0.2">
      <c r="A170" s="43" t="s">
        <v>365</v>
      </c>
      <c r="B170" s="46" t="s">
        <v>47</v>
      </c>
      <c r="C170" s="44" t="s">
        <v>385</v>
      </c>
      <c r="D170" s="47">
        <v>7168</v>
      </c>
      <c r="E170" s="46" t="s">
        <v>338</v>
      </c>
      <c r="F170" s="35">
        <v>20000</v>
      </c>
      <c r="G170" s="40">
        <v>20000</v>
      </c>
      <c r="H170" s="35">
        <v>0</v>
      </c>
      <c r="I170" s="35">
        <f t="shared" si="4"/>
        <v>20000</v>
      </c>
      <c r="J170" s="36">
        <f t="shared" si="5"/>
        <v>0</v>
      </c>
      <c r="K170" s="48" t="s">
        <v>83</v>
      </c>
      <c r="L170" s="48" t="s">
        <v>83</v>
      </c>
      <c r="M170" s="38">
        <v>41820</v>
      </c>
      <c r="N170" s="48"/>
      <c r="O170" s="35">
        <v>20000</v>
      </c>
      <c r="P170" s="35"/>
      <c r="Q170" s="35"/>
      <c r="R170" s="35"/>
      <c r="S170" s="41"/>
    </row>
    <row r="171" spans="1:19" s="15" customFormat="1" ht="38.25" customHeight="1" x14ac:dyDescent="0.2">
      <c r="A171" s="43" t="s">
        <v>366</v>
      </c>
      <c r="B171" s="46" t="s">
        <v>47</v>
      </c>
      <c r="C171" s="44" t="s">
        <v>386</v>
      </c>
      <c r="D171" s="47">
        <v>7270</v>
      </c>
      <c r="E171" s="46" t="s">
        <v>388</v>
      </c>
      <c r="F171" s="35">
        <v>30000</v>
      </c>
      <c r="G171" s="40">
        <v>30000</v>
      </c>
      <c r="H171" s="35">
        <v>0</v>
      </c>
      <c r="I171" s="35">
        <f t="shared" si="4"/>
        <v>30000</v>
      </c>
      <c r="J171" s="36">
        <f t="shared" si="5"/>
        <v>0</v>
      </c>
      <c r="K171" s="48" t="s">
        <v>83</v>
      </c>
      <c r="L171" s="48" t="s">
        <v>83</v>
      </c>
      <c r="M171" s="38">
        <v>41820</v>
      </c>
      <c r="N171" s="48"/>
      <c r="O171" s="35">
        <v>30000</v>
      </c>
      <c r="P171" s="35"/>
      <c r="Q171" s="35"/>
      <c r="R171" s="35"/>
      <c r="S171" s="41"/>
    </row>
    <row r="172" spans="1:19" s="15" customFormat="1" ht="38.25" customHeight="1" x14ac:dyDescent="0.2">
      <c r="A172" s="43" t="s">
        <v>501</v>
      </c>
      <c r="B172" s="46" t="s">
        <v>47</v>
      </c>
      <c r="C172" s="44" t="s">
        <v>527</v>
      </c>
      <c r="D172" s="47" t="s">
        <v>65</v>
      </c>
      <c r="E172" s="46" t="s">
        <v>528</v>
      </c>
      <c r="F172" s="35">
        <v>40000</v>
      </c>
      <c r="G172" s="40">
        <v>99000</v>
      </c>
      <c r="H172" s="35">
        <f>300000+40000</f>
        <v>340000</v>
      </c>
      <c r="I172" s="35">
        <f t="shared" si="4"/>
        <v>439000</v>
      </c>
      <c r="J172" s="36">
        <f t="shared" si="5"/>
        <v>3.4343434343434343</v>
      </c>
      <c r="K172" s="48" t="s">
        <v>83</v>
      </c>
      <c r="L172" s="48" t="s">
        <v>83</v>
      </c>
      <c r="M172" s="38">
        <v>41820</v>
      </c>
      <c r="N172" s="48" t="s">
        <v>86</v>
      </c>
      <c r="O172" s="35">
        <v>40000</v>
      </c>
      <c r="P172" s="35"/>
      <c r="Q172" s="35"/>
      <c r="R172" s="35"/>
      <c r="S172" s="41"/>
    </row>
    <row r="173" spans="1:19" s="15" customFormat="1" ht="26.25" customHeight="1" x14ac:dyDescent="0.2">
      <c r="A173" s="43" t="s">
        <v>686</v>
      </c>
      <c r="B173" s="46" t="s">
        <v>47</v>
      </c>
      <c r="C173" s="44" t="s">
        <v>711</v>
      </c>
      <c r="D173" s="47">
        <v>7825</v>
      </c>
      <c r="E173" s="46" t="s">
        <v>338</v>
      </c>
      <c r="F173" s="35">
        <v>10000</v>
      </c>
      <c r="G173" s="40">
        <v>10000</v>
      </c>
      <c r="H173" s="35">
        <v>0</v>
      </c>
      <c r="I173" s="35">
        <f t="shared" si="4"/>
        <v>10000</v>
      </c>
      <c r="J173" s="36">
        <f t="shared" si="5"/>
        <v>0</v>
      </c>
      <c r="K173" s="48" t="s">
        <v>83</v>
      </c>
      <c r="L173" s="48" t="s">
        <v>83</v>
      </c>
      <c r="M173" s="38">
        <v>41820</v>
      </c>
      <c r="N173" s="48"/>
      <c r="O173" s="35">
        <v>10000</v>
      </c>
      <c r="P173" s="35"/>
      <c r="Q173" s="35"/>
      <c r="R173" s="35"/>
      <c r="S173" s="41"/>
    </row>
    <row r="174" spans="1:19" s="15" customFormat="1" ht="38.25" customHeight="1" x14ac:dyDescent="0.2">
      <c r="A174" s="43" t="s">
        <v>939</v>
      </c>
      <c r="B174" s="46" t="s">
        <v>47</v>
      </c>
      <c r="C174" s="44" t="s">
        <v>943</v>
      </c>
      <c r="D174" s="47">
        <v>8267</v>
      </c>
      <c r="E174" s="46" t="s">
        <v>949</v>
      </c>
      <c r="F174" s="35">
        <v>15000</v>
      </c>
      <c r="G174" s="35">
        <v>15000</v>
      </c>
      <c r="H174" s="35">
        <v>0</v>
      </c>
      <c r="I174" s="35">
        <f t="shared" si="4"/>
        <v>15000</v>
      </c>
      <c r="J174" s="36">
        <f t="shared" si="5"/>
        <v>0</v>
      </c>
      <c r="K174" s="48" t="s">
        <v>83</v>
      </c>
      <c r="L174" s="48" t="s">
        <v>83</v>
      </c>
      <c r="M174" s="38">
        <v>41820</v>
      </c>
      <c r="N174" s="48"/>
      <c r="O174" s="35">
        <v>15000</v>
      </c>
      <c r="P174" s="35"/>
      <c r="Q174" s="35"/>
      <c r="R174" s="35"/>
      <c r="S174" s="41"/>
    </row>
    <row r="175" spans="1:19" s="15" customFormat="1" ht="26.25" customHeight="1" x14ac:dyDescent="0.2">
      <c r="A175" s="43" t="s">
        <v>491</v>
      </c>
      <c r="B175" s="46" t="s">
        <v>516</v>
      </c>
      <c r="C175" s="44" t="s">
        <v>520</v>
      </c>
      <c r="D175" s="47">
        <v>7303</v>
      </c>
      <c r="E175" s="46" t="s">
        <v>504</v>
      </c>
      <c r="F175" s="35">
        <v>9750</v>
      </c>
      <c r="G175" s="40">
        <v>9750</v>
      </c>
      <c r="H175" s="35">
        <v>0</v>
      </c>
      <c r="I175" s="35">
        <f t="shared" si="4"/>
        <v>9750</v>
      </c>
      <c r="J175" s="36">
        <f t="shared" si="5"/>
        <v>0</v>
      </c>
      <c r="K175" s="48" t="s">
        <v>83</v>
      </c>
      <c r="L175" s="48" t="s">
        <v>83</v>
      </c>
      <c r="M175" s="38">
        <v>41820</v>
      </c>
      <c r="N175" s="48"/>
      <c r="O175" s="35">
        <v>9750</v>
      </c>
      <c r="P175" s="35"/>
      <c r="Q175" s="35"/>
      <c r="R175" s="35"/>
      <c r="S175" s="41"/>
    </row>
    <row r="176" spans="1:19" s="15" customFormat="1" ht="26.25" customHeight="1" x14ac:dyDescent="0.2">
      <c r="A176" s="43" t="s">
        <v>492</v>
      </c>
      <c r="B176" s="46" t="s">
        <v>517</v>
      </c>
      <c r="C176" s="44" t="s">
        <v>521</v>
      </c>
      <c r="D176" s="47">
        <v>7326</v>
      </c>
      <c r="E176" s="46" t="s">
        <v>505</v>
      </c>
      <c r="F176" s="35">
        <f>39912*3</f>
        <v>119736</v>
      </c>
      <c r="G176" s="40">
        <f>39912*3</f>
        <v>119736</v>
      </c>
      <c r="H176" s="35">
        <v>0</v>
      </c>
      <c r="I176" s="35">
        <f t="shared" si="4"/>
        <v>119736</v>
      </c>
      <c r="J176" s="36">
        <f t="shared" si="5"/>
        <v>0</v>
      </c>
      <c r="K176" s="48" t="s">
        <v>83</v>
      </c>
      <c r="L176" s="48" t="s">
        <v>83</v>
      </c>
      <c r="M176" s="38">
        <v>41726</v>
      </c>
      <c r="N176" s="48" t="s">
        <v>84</v>
      </c>
      <c r="O176" s="35">
        <v>39912</v>
      </c>
      <c r="P176" s="35">
        <v>39912</v>
      </c>
      <c r="Q176" s="35">
        <v>39912</v>
      </c>
      <c r="R176" s="35"/>
      <c r="S176" s="41"/>
    </row>
    <row r="177" spans="1:19" s="15" customFormat="1" ht="26.25" customHeight="1" x14ac:dyDescent="0.2">
      <c r="A177" s="43" t="s">
        <v>33</v>
      </c>
      <c r="B177" s="46" t="s">
        <v>46</v>
      </c>
      <c r="C177" s="44" t="s">
        <v>410</v>
      </c>
      <c r="D177" s="47">
        <v>6812</v>
      </c>
      <c r="E177" s="46" t="s">
        <v>81</v>
      </c>
      <c r="F177" s="35">
        <f>40000*3</f>
        <v>120000</v>
      </c>
      <c r="G177" s="40">
        <f>40000*3</f>
        <v>120000</v>
      </c>
      <c r="H177" s="35">
        <v>0</v>
      </c>
      <c r="I177" s="49">
        <f t="shared" si="4"/>
        <v>120000</v>
      </c>
      <c r="J177" s="51">
        <f t="shared" si="5"/>
        <v>0</v>
      </c>
      <c r="K177" s="48" t="s">
        <v>83</v>
      </c>
      <c r="L177" s="48" t="s">
        <v>85</v>
      </c>
      <c r="M177" s="38">
        <v>41821</v>
      </c>
      <c r="N177" s="48" t="s">
        <v>84</v>
      </c>
      <c r="O177" s="41">
        <v>40000</v>
      </c>
      <c r="P177" s="41">
        <v>40000</v>
      </c>
      <c r="Q177" s="41">
        <v>40000</v>
      </c>
      <c r="R177" s="41"/>
      <c r="S177" s="41"/>
    </row>
    <row r="178" spans="1:19" s="15" customFormat="1" ht="26.25" customHeight="1" x14ac:dyDescent="0.2">
      <c r="A178" s="43" t="s">
        <v>153</v>
      </c>
      <c r="B178" s="46" t="s">
        <v>46</v>
      </c>
      <c r="C178" s="44" t="s">
        <v>154</v>
      </c>
      <c r="D178" s="47" t="s">
        <v>65</v>
      </c>
      <c r="E178" s="55" t="s">
        <v>155</v>
      </c>
      <c r="F178" s="35">
        <v>24170</v>
      </c>
      <c r="G178" s="40">
        <v>702341</v>
      </c>
      <c r="H178" s="35">
        <f>93800+24170</f>
        <v>117970</v>
      </c>
      <c r="I178" s="35">
        <f t="shared" si="4"/>
        <v>820311</v>
      </c>
      <c r="J178" s="36">
        <f t="shared" si="5"/>
        <v>0.16796684231733588</v>
      </c>
      <c r="K178" s="48" t="s">
        <v>83</v>
      </c>
      <c r="L178" s="48" t="s">
        <v>83</v>
      </c>
      <c r="M178" s="52">
        <v>41554</v>
      </c>
      <c r="N178" s="48" t="s">
        <v>86</v>
      </c>
      <c r="O178" s="41">
        <v>24170</v>
      </c>
      <c r="P178" s="41"/>
      <c r="Q178" s="41"/>
      <c r="R178" s="41"/>
      <c r="S178" s="41"/>
    </row>
    <row r="179" spans="1:19" s="15" customFormat="1" ht="26.25" customHeight="1" x14ac:dyDescent="0.2">
      <c r="A179" s="43" t="s">
        <v>156</v>
      </c>
      <c r="B179" s="46" t="s">
        <v>46</v>
      </c>
      <c r="C179" s="44" t="s">
        <v>160</v>
      </c>
      <c r="D179" s="34">
        <v>6401</v>
      </c>
      <c r="E179" s="46" t="s">
        <v>163</v>
      </c>
      <c r="F179" s="35">
        <f>20000+20000+20000</f>
        <v>60000</v>
      </c>
      <c r="G179" s="40">
        <f>20000+20000+20000</f>
        <v>60000</v>
      </c>
      <c r="H179" s="35">
        <v>0</v>
      </c>
      <c r="I179" s="35">
        <f t="shared" si="4"/>
        <v>60000</v>
      </c>
      <c r="J179" s="36">
        <f t="shared" si="5"/>
        <v>0</v>
      </c>
      <c r="K179" s="48" t="s">
        <v>83</v>
      </c>
      <c r="L179" s="48" t="s">
        <v>83</v>
      </c>
      <c r="M179" s="38">
        <v>41820</v>
      </c>
      <c r="N179" s="48" t="s">
        <v>84</v>
      </c>
      <c r="O179" s="41">
        <v>20000</v>
      </c>
      <c r="P179" s="41">
        <v>20000</v>
      </c>
      <c r="Q179" s="41">
        <v>20000</v>
      </c>
      <c r="R179" s="41"/>
      <c r="S179" s="41"/>
    </row>
    <row r="180" spans="1:19" s="15" customFormat="1" ht="26.25" customHeight="1" x14ac:dyDescent="0.2">
      <c r="A180" s="43" t="s">
        <v>277</v>
      </c>
      <c r="B180" s="46" t="s">
        <v>46</v>
      </c>
      <c r="C180" s="44" t="s">
        <v>290</v>
      </c>
      <c r="D180" s="34">
        <v>7069</v>
      </c>
      <c r="E180" s="46" t="s">
        <v>306</v>
      </c>
      <c r="F180" s="35">
        <v>39500</v>
      </c>
      <c r="G180" s="40">
        <v>39500</v>
      </c>
      <c r="H180" s="35">
        <v>0</v>
      </c>
      <c r="I180" s="35">
        <f t="shared" si="4"/>
        <v>39500</v>
      </c>
      <c r="J180" s="36">
        <f t="shared" si="5"/>
        <v>0</v>
      </c>
      <c r="K180" s="48" t="s">
        <v>83</v>
      </c>
      <c r="L180" s="48" t="s">
        <v>83</v>
      </c>
      <c r="M180" s="38">
        <v>41820</v>
      </c>
      <c r="N180" s="48"/>
      <c r="O180" s="35">
        <v>39500</v>
      </c>
      <c r="P180" s="35"/>
      <c r="Q180" s="35"/>
      <c r="R180" s="35"/>
      <c r="S180" s="41"/>
    </row>
    <row r="181" spans="1:19" s="15" customFormat="1" ht="18" customHeight="1" x14ac:dyDescent="0.2">
      <c r="A181" s="43" t="s">
        <v>309</v>
      </c>
      <c r="B181" s="46" t="s">
        <v>46</v>
      </c>
      <c r="C181" s="44" t="s">
        <v>318</v>
      </c>
      <c r="D181" s="47">
        <v>6988</v>
      </c>
      <c r="E181" s="46" t="s">
        <v>325</v>
      </c>
      <c r="F181" s="35">
        <v>86064</v>
      </c>
      <c r="G181" s="40">
        <v>86064</v>
      </c>
      <c r="H181" s="35"/>
      <c r="I181" s="35">
        <f t="shared" si="4"/>
        <v>86064</v>
      </c>
      <c r="J181" s="36">
        <f t="shared" si="5"/>
        <v>0</v>
      </c>
      <c r="K181" s="48" t="s">
        <v>83</v>
      </c>
      <c r="L181" s="48" t="s">
        <v>85</v>
      </c>
      <c r="M181" s="38">
        <v>43386</v>
      </c>
      <c r="N181" s="48"/>
      <c r="O181" s="35">
        <v>86064</v>
      </c>
      <c r="P181" s="35"/>
      <c r="Q181" s="35"/>
      <c r="R181" s="35"/>
      <c r="S181" s="41"/>
    </row>
    <row r="182" spans="1:19" s="15" customFormat="1" ht="26.25" customHeight="1" x14ac:dyDescent="0.2">
      <c r="A182" s="43" t="s">
        <v>616</v>
      </c>
      <c r="B182" s="46" t="s">
        <v>46</v>
      </c>
      <c r="C182" s="44" t="s">
        <v>621</v>
      </c>
      <c r="D182" s="47">
        <v>7676</v>
      </c>
      <c r="E182" s="46" t="s">
        <v>618</v>
      </c>
      <c r="F182" s="35">
        <v>90000</v>
      </c>
      <c r="G182" s="40">
        <v>90000</v>
      </c>
      <c r="H182" s="35">
        <v>0</v>
      </c>
      <c r="I182" s="35">
        <f t="shared" si="4"/>
        <v>90000</v>
      </c>
      <c r="J182" s="36">
        <f t="shared" si="5"/>
        <v>0</v>
      </c>
      <c r="K182" s="48" t="s">
        <v>83</v>
      </c>
      <c r="L182" s="48" t="s">
        <v>83</v>
      </c>
      <c r="M182" s="52">
        <v>41790</v>
      </c>
      <c r="N182" s="48"/>
      <c r="O182" s="35">
        <v>90000</v>
      </c>
      <c r="P182" s="35"/>
      <c r="Q182" s="35"/>
      <c r="R182" s="35"/>
      <c r="S182" s="41"/>
    </row>
    <row r="183" spans="1:19" s="15" customFormat="1" ht="26.25" customHeight="1" x14ac:dyDescent="0.2">
      <c r="A183" s="43" t="s">
        <v>640</v>
      </c>
      <c r="B183" s="46" t="s">
        <v>46</v>
      </c>
      <c r="C183" s="43" t="s">
        <v>647</v>
      </c>
      <c r="D183" s="47">
        <v>7653</v>
      </c>
      <c r="E183" s="46" t="s">
        <v>644</v>
      </c>
      <c r="F183" s="35">
        <v>13281</v>
      </c>
      <c r="G183" s="40">
        <v>13281</v>
      </c>
      <c r="H183" s="35">
        <v>0</v>
      </c>
      <c r="I183" s="35">
        <f t="shared" si="4"/>
        <v>13281</v>
      </c>
      <c r="J183" s="36">
        <f t="shared" si="5"/>
        <v>0</v>
      </c>
      <c r="K183" s="48" t="s">
        <v>83</v>
      </c>
      <c r="L183" s="48" t="s">
        <v>83</v>
      </c>
      <c r="M183" s="38">
        <v>42693</v>
      </c>
      <c r="N183" s="48"/>
      <c r="O183" s="35">
        <v>13281</v>
      </c>
      <c r="P183" s="35"/>
      <c r="Q183" s="35"/>
      <c r="R183" s="35"/>
      <c r="S183" s="41"/>
    </row>
    <row r="184" spans="1:19" s="15" customFormat="1" ht="26.25" customHeight="1" x14ac:dyDescent="0.2">
      <c r="A184" s="43" t="s">
        <v>651</v>
      </c>
      <c r="B184" s="46" t="s">
        <v>46</v>
      </c>
      <c r="C184" s="44" t="s">
        <v>654</v>
      </c>
      <c r="D184" s="47">
        <v>7711</v>
      </c>
      <c r="E184" s="46" t="s">
        <v>863</v>
      </c>
      <c r="F184" s="40">
        <f>90000*3</f>
        <v>270000</v>
      </c>
      <c r="G184" s="40">
        <f>90000*3</f>
        <v>270000</v>
      </c>
      <c r="H184" s="35">
        <v>0</v>
      </c>
      <c r="I184" s="35">
        <f t="shared" si="4"/>
        <v>270000</v>
      </c>
      <c r="J184" s="36">
        <f t="shared" si="5"/>
        <v>0</v>
      </c>
      <c r="K184" s="48" t="s">
        <v>83</v>
      </c>
      <c r="L184" s="48" t="s">
        <v>83</v>
      </c>
      <c r="M184" s="38">
        <v>41820</v>
      </c>
      <c r="N184" s="48" t="s">
        <v>84</v>
      </c>
      <c r="O184" s="35">
        <v>90000</v>
      </c>
      <c r="P184" s="35">
        <v>90000</v>
      </c>
      <c r="Q184" s="35">
        <v>90000</v>
      </c>
      <c r="R184" s="35"/>
      <c r="S184" s="41"/>
    </row>
    <row r="185" spans="1:19" s="15" customFormat="1" ht="26.25" customHeight="1" x14ac:dyDescent="0.2">
      <c r="A185" s="43" t="s">
        <v>656</v>
      </c>
      <c r="B185" s="46" t="s">
        <v>46</v>
      </c>
      <c r="C185" s="46" t="s">
        <v>134</v>
      </c>
      <c r="D185" s="47">
        <v>7718</v>
      </c>
      <c r="E185" s="46" t="s">
        <v>663</v>
      </c>
      <c r="F185" s="35">
        <v>6824</v>
      </c>
      <c r="G185" s="40">
        <v>6824</v>
      </c>
      <c r="H185" s="35">
        <v>0</v>
      </c>
      <c r="I185" s="35">
        <f t="shared" si="4"/>
        <v>6824</v>
      </c>
      <c r="J185" s="36">
        <f t="shared" si="5"/>
        <v>0</v>
      </c>
      <c r="K185" s="48" t="s">
        <v>83</v>
      </c>
      <c r="L185" s="48" t="s">
        <v>83</v>
      </c>
      <c r="M185" s="38">
        <v>41997</v>
      </c>
      <c r="N185" s="48"/>
      <c r="O185" s="35">
        <v>6824</v>
      </c>
      <c r="P185" s="35"/>
      <c r="Q185" s="35"/>
      <c r="R185" s="35"/>
      <c r="S185" s="41"/>
    </row>
    <row r="186" spans="1:19" s="15" customFormat="1" ht="26.25" customHeight="1" x14ac:dyDescent="0.2">
      <c r="A186" s="43" t="s">
        <v>715</v>
      </c>
      <c r="B186" s="46" t="s">
        <v>46</v>
      </c>
      <c r="C186" s="44" t="s">
        <v>729</v>
      </c>
      <c r="D186" s="47">
        <v>7816</v>
      </c>
      <c r="E186" s="46" t="s">
        <v>739</v>
      </c>
      <c r="F186" s="35">
        <f>15000*3</f>
        <v>45000</v>
      </c>
      <c r="G186" s="40">
        <f>15000*3</f>
        <v>45000</v>
      </c>
      <c r="H186" s="35">
        <v>0</v>
      </c>
      <c r="I186" s="35">
        <f t="shared" si="4"/>
        <v>45000</v>
      </c>
      <c r="J186" s="36">
        <f t="shared" si="5"/>
        <v>0</v>
      </c>
      <c r="K186" s="48" t="s">
        <v>83</v>
      </c>
      <c r="L186" s="48" t="s">
        <v>83</v>
      </c>
      <c r="M186" s="38">
        <v>42035</v>
      </c>
      <c r="N186" s="48" t="s">
        <v>84</v>
      </c>
      <c r="O186" s="35">
        <v>15000</v>
      </c>
      <c r="P186" s="35">
        <v>15000</v>
      </c>
      <c r="Q186" s="35">
        <v>15000</v>
      </c>
      <c r="R186" s="35"/>
      <c r="S186" s="41"/>
    </row>
    <row r="187" spans="1:19" s="15" customFormat="1" ht="26.25" customHeight="1" x14ac:dyDescent="0.2">
      <c r="A187" s="43" t="s">
        <v>716</v>
      </c>
      <c r="B187" s="46" t="s">
        <v>46</v>
      </c>
      <c r="C187" s="44" t="s">
        <v>730</v>
      </c>
      <c r="D187" s="47">
        <v>7817</v>
      </c>
      <c r="E187" s="46" t="s">
        <v>739</v>
      </c>
      <c r="F187" s="35">
        <f>15000*3</f>
        <v>45000</v>
      </c>
      <c r="G187" s="40">
        <f>15000*3</f>
        <v>45000</v>
      </c>
      <c r="H187" s="35">
        <v>0</v>
      </c>
      <c r="I187" s="35">
        <f t="shared" si="4"/>
        <v>45000</v>
      </c>
      <c r="J187" s="36">
        <f t="shared" si="5"/>
        <v>0</v>
      </c>
      <c r="K187" s="48" t="s">
        <v>83</v>
      </c>
      <c r="L187" s="48" t="s">
        <v>83</v>
      </c>
      <c r="M187" s="38">
        <v>42035</v>
      </c>
      <c r="N187" s="48" t="s">
        <v>84</v>
      </c>
      <c r="O187" s="35">
        <v>15000</v>
      </c>
      <c r="P187" s="35">
        <v>15000</v>
      </c>
      <c r="Q187" s="35">
        <v>15000</v>
      </c>
      <c r="R187" s="35"/>
      <c r="S187" s="41"/>
    </row>
    <row r="188" spans="1:19" s="15" customFormat="1" ht="26.25" customHeight="1" x14ac:dyDescent="0.2">
      <c r="A188" s="43" t="s">
        <v>771</v>
      </c>
      <c r="B188" s="46" t="s">
        <v>46</v>
      </c>
      <c r="C188" s="44" t="s">
        <v>775</v>
      </c>
      <c r="D188" s="47">
        <v>7913</v>
      </c>
      <c r="E188" s="46" t="s">
        <v>781</v>
      </c>
      <c r="F188" s="35">
        <v>42278</v>
      </c>
      <c r="G188" s="40">
        <v>42278</v>
      </c>
      <c r="H188" s="35">
        <v>0</v>
      </c>
      <c r="I188" s="35">
        <f t="shared" si="4"/>
        <v>42278</v>
      </c>
      <c r="J188" s="36">
        <f t="shared" si="5"/>
        <v>0</v>
      </c>
      <c r="K188" s="48" t="s">
        <v>83</v>
      </c>
      <c r="L188" s="48" t="s">
        <v>85</v>
      </c>
      <c r="M188" s="38">
        <v>41874</v>
      </c>
      <c r="N188" s="48"/>
      <c r="O188" s="35">
        <v>42278</v>
      </c>
      <c r="P188" s="35"/>
      <c r="Q188" s="35"/>
      <c r="R188" s="35"/>
      <c r="S188" s="41"/>
    </row>
    <row r="189" spans="1:19" s="15" customFormat="1" ht="26.25" customHeight="1" x14ac:dyDescent="0.2">
      <c r="A189" s="43" t="s">
        <v>784</v>
      </c>
      <c r="B189" s="46" t="s">
        <v>46</v>
      </c>
      <c r="C189" s="44" t="s">
        <v>286</v>
      </c>
      <c r="D189" s="47">
        <v>7830</v>
      </c>
      <c r="E189" s="46" t="s">
        <v>798</v>
      </c>
      <c r="F189" s="35">
        <f>98800*3</f>
        <v>296400</v>
      </c>
      <c r="G189" s="40">
        <f>98800*3</f>
        <v>296400</v>
      </c>
      <c r="H189" s="35">
        <v>0</v>
      </c>
      <c r="I189" s="35">
        <f t="shared" si="4"/>
        <v>296400</v>
      </c>
      <c r="J189" s="36">
        <f t="shared" si="5"/>
        <v>0</v>
      </c>
      <c r="K189" s="48" t="s">
        <v>83</v>
      </c>
      <c r="L189" s="48" t="s">
        <v>83</v>
      </c>
      <c r="M189" s="38">
        <v>41820</v>
      </c>
      <c r="N189" s="48" t="s">
        <v>84</v>
      </c>
      <c r="O189" s="35">
        <v>98800</v>
      </c>
      <c r="P189" s="35">
        <v>98800</v>
      </c>
      <c r="Q189" s="35">
        <v>98800</v>
      </c>
      <c r="R189" s="35"/>
      <c r="S189" s="41"/>
    </row>
    <row r="190" spans="1:19" s="15" customFormat="1" ht="26.25" customHeight="1" x14ac:dyDescent="0.2">
      <c r="A190" s="43" t="s">
        <v>785</v>
      </c>
      <c r="B190" s="46" t="s">
        <v>46</v>
      </c>
      <c r="C190" s="44" t="s">
        <v>789</v>
      </c>
      <c r="D190" s="47" t="s">
        <v>792</v>
      </c>
      <c r="E190" s="46" t="s">
        <v>799</v>
      </c>
      <c r="F190" s="35">
        <f>30000*3</f>
        <v>90000</v>
      </c>
      <c r="G190" s="40">
        <v>65000</v>
      </c>
      <c r="H190" s="35">
        <f>30000*3</f>
        <v>90000</v>
      </c>
      <c r="I190" s="35">
        <f t="shared" si="4"/>
        <v>155000</v>
      </c>
      <c r="J190" s="36">
        <f t="shared" si="5"/>
        <v>1.3846153846153846</v>
      </c>
      <c r="K190" s="48" t="s">
        <v>83</v>
      </c>
      <c r="L190" s="48" t="s">
        <v>83</v>
      </c>
      <c r="M190" s="38">
        <v>41820</v>
      </c>
      <c r="N190" s="48" t="s">
        <v>84</v>
      </c>
      <c r="O190" s="35">
        <v>30000</v>
      </c>
      <c r="P190" s="35">
        <v>30000</v>
      </c>
      <c r="Q190" s="35">
        <v>30000</v>
      </c>
      <c r="R190" s="35"/>
      <c r="S190" s="41"/>
    </row>
    <row r="191" spans="1:19" s="15" customFormat="1" ht="26.25" customHeight="1" x14ac:dyDescent="0.2">
      <c r="A191" s="43" t="s">
        <v>788</v>
      </c>
      <c r="B191" s="46" t="s">
        <v>46</v>
      </c>
      <c r="C191" s="44" t="s">
        <v>791</v>
      </c>
      <c r="D191" s="47" t="s">
        <v>794</v>
      </c>
      <c r="E191" s="46" t="s">
        <v>795</v>
      </c>
      <c r="F191" s="35">
        <v>20000</v>
      </c>
      <c r="G191" s="40">
        <v>30000</v>
      </c>
      <c r="H191" s="35">
        <f>30000+20000</f>
        <v>50000</v>
      </c>
      <c r="I191" s="35">
        <f t="shared" si="4"/>
        <v>80000</v>
      </c>
      <c r="J191" s="36">
        <f t="shared" si="5"/>
        <v>1.6666666666666667</v>
      </c>
      <c r="K191" s="48" t="s">
        <v>83</v>
      </c>
      <c r="L191" s="48" t="s">
        <v>83</v>
      </c>
      <c r="M191" s="38">
        <v>41820</v>
      </c>
      <c r="N191" s="48" t="s">
        <v>86</v>
      </c>
      <c r="O191" s="35">
        <v>20000</v>
      </c>
      <c r="P191" s="35"/>
      <c r="Q191" s="35"/>
      <c r="R191" s="35"/>
      <c r="S191" s="41"/>
    </row>
    <row r="192" spans="1:19" s="15" customFormat="1" ht="26.25" customHeight="1" x14ac:dyDescent="0.2">
      <c r="A192" s="43" t="s">
        <v>801</v>
      </c>
      <c r="B192" s="46" t="s">
        <v>46</v>
      </c>
      <c r="C192" s="44" t="s">
        <v>805</v>
      </c>
      <c r="D192" s="47">
        <v>7924</v>
      </c>
      <c r="E192" s="46" t="s">
        <v>808</v>
      </c>
      <c r="F192" s="35">
        <v>6000</v>
      </c>
      <c r="G192" s="40">
        <v>6000</v>
      </c>
      <c r="H192" s="35">
        <v>0</v>
      </c>
      <c r="I192" s="35">
        <f t="shared" si="4"/>
        <v>6000</v>
      </c>
      <c r="J192" s="36">
        <f t="shared" si="5"/>
        <v>0</v>
      </c>
      <c r="K192" s="48" t="s">
        <v>83</v>
      </c>
      <c r="L192" s="48" t="s">
        <v>83</v>
      </c>
      <c r="M192" s="38">
        <v>41698</v>
      </c>
      <c r="N192" s="48"/>
      <c r="O192" s="35">
        <v>6000</v>
      </c>
      <c r="P192" s="35"/>
      <c r="Q192" s="35"/>
      <c r="R192" s="35"/>
      <c r="S192" s="41"/>
    </row>
    <row r="193" spans="1:19" s="15" customFormat="1" ht="26.25" customHeight="1" x14ac:dyDescent="0.2">
      <c r="A193" s="43" t="s">
        <v>804</v>
      </c>
      <c r="B193" s="46" t="s">
        <v>46</v>
      </c>
      <c r="C193" s="44" t="s">
        <v>807</v>
      </c>
      <c r="D193" s="47">
        <v>7966</v>
      </c>
      <c r="E193" s="46" t="s">
        <v>810</v>
      </c>
      <c r="F193" s="35">
        <f>16220*3</f>
        <v>48660</v>
      </c>
      <c r="G193" s="40">
        <f>16220*3</f>
        <v>48660</v>
      </c>
      <c r="H193" s="35">
        <v>0</v>
      </c>
      <c r="I193" s="35">
        <f t="shared" si="4"/>
        <v>48660</v>
      </c>
      <c r="J193" s="36">
        <f t="shared" si="5"/>
        <v>0</v>
      </c>
      <c r="K193" s="48" t="s">
        <v>83</v>
      </c>
      <c r="L193" s="48" t="s">
        <v>85</v>
      </c>
      <c r="M193" s="38">
        <v>41820</v>
      </c>
      <c r="N193" s="48" t="s">
        <v>84</v>
      </c>
      <c r="O193" s="35">
        <v>16220</v>
      </c>
      <c r="P193" s="35">
        <v>16220</v>
      </c>
      <c r="Q193" s="35">
        <v>16220</v>
      </c>
      <c r="R193" s="35"/>
      <c r="S193" s="41"/>
    </row>
    <row r="194" spans="1:19" s="15" customFormat="1" ht="26.25" customHeight="1" x14ac:dyDescent="0.2">
      <c r="A194" s="43" t="s">
        <v>811</v>
      </c>
      <c r="B194" s="46" t="s">
        <v>46</v>
      </c>
      <c r="C194" s="44" t="s">
        <v>817</v>
      </c>
      <c r="D194" s="47">
        <v>7937</v>
      </c>
      <c r="E194" s="46" t="s">
        <v>827</v>
      </c>
      <c r="F194" s="35">
        <f>20000*3</f>
        <v>60000</v>
      </c>
      <c r="G194" s="40">
        <f>20000*3</f>
        <v>60000</v>
      </c>
      <c r="H194" s="35">
        <v>0</v>
      </c>
      <c r="I194" s="35">
        <f t="shared" ref="I194:I257" si="6">G194+H194</f>
        <v>60000</v>
      </c>
      <c r="J194" s="36">
        <f t="shared" ref="J194:J257" si="7">IF(G194=0,100%,(I194-G194)/G194)</f>
        <v>0</v>
      </c>
      <c r="K194" s="48" t="s">
        <v>83</v>
      </c>
      <c r="L194" s="48" t="s">
        <v>83</v>
      </c>
      <c r="M194" s="38">
        <v>42019</v>
      </c>
      <c r="N194" s="48" t="s">
        <v>84</v>
      </c>
      <c r="O194" s="35">
        <v>20000</v>
      </c>
      <c r="P194" s="35">
        <v>20000</v>
      </c>
      <c r="Q194" s="35">
        <v>20000</v>
      </c>
      <c r="R194" s="35"/>
      <c r="S194" s="41"/>
    </row>
    <row r="195" spans="1:19" s="15" customFormat="1" ht="18" customHeight="1" x14ac:dyDescent="0.2">
      <c r="A195" s="43" t="s">
        <v>813</v>
      </c>
      <c r="B195" s="46" t="s">
        <v>46</v>
      </c>
      <c r="C195" s="44" t="s">
        <v>819</v>
      </c>
      <c r="D195" s="47">
        <v>8024</v>
      </c>
      <c r="E195" s="46" t="s">
        <v>824</v>
      </c>
      <c r="F195" s="35">
        <v>6874</v>
      </c>
      <c r="G195" s="40">
        <v>6874</v>
      </c>
      <c r="H195" s="35">
        <v>0</v>
      </c>
      <c r="I195" s="35">
        <f t="shared" si="6"/>
        <v>6874</v>
      </c>
      <c r="J195" s="36">
        <f t="shared" si="7"/>
        <v>0</v>
      </c>
      <c r="K195" s="48" t="s">
        <v>83</v>
      </c>
      <c r="L195" s="48" t="s">
        <v>83</v>
      </c>
      <c r="M195" s="38">
        <v>42794</v>
      </c>
      <c r="N195" s="48"/>
      <c r="O195" s="35">
        <v>6874</v>
      </c>
      <c r="P195" s="35"/>
      <c r="Q195" s="35"/>
      <c r="R195" s="35"/>
      <c r="S195" s="41"/>
    </row>
    <row r="196" spans="1:19" s="15" customFormat="1" ht="26.25" customHeight="1" x14ac:dyDescent="0.2">
      <c r="A196" s="43" t="s">
        <v>883</v>
      </c>
      <c r="B196" s="46" t="s">
        <v>46</v>
      </c>
      <c r="C196" s="44" t="s">
        <v>887</v>
      </c>
      <c r="D196" s="47">
        <v>8152</v>
      </c>
      <c r="E196" s="46" t="s">
        <v>892</v>
      </c>
      <c r="F196" s="35">
        <v>16735</v>
      </c>
      <c r="G196" s="35">
        <v>16735</v>
      </c>
      <c r="H196" s="35">
        <v>0</v>
      </c>
      <c r="I196" s="35">
        <f t="shared" si="6"/>
        <v>16735</v>
      </c>
      <c r="J196" s="36">
        <f t="shared" si="7"/>
        <v>0</v>
      </c>
      <c r="K196" s="48" t="s">
        <v>83</v>
      </c>
      <c r="L196" s="48" t="s">
        <v>85</v>
      </c>
      <c r="M196" s="38">
        <v>41943</v>
      </c>
      <c r="N196" s="48"/>
      <c r="O196" s="35">
        <v>16735</v>
      </c>
      <c r="P196" s="35"/>
      <c r="Q196" s="35"/>
      <c r="R196" s="35"/>
      <c r="S196" s="41"/>
    </row>
    <row r="197" spans="1:19" s="15" customFormat="1" ht="26.25" customHeight="1" x14ac:dyDescent="0.2">
      <c r="A197" s="43" t="s">
        <v>896</v>
      </c>
      <c r="B197" s="46" t="s">
        <v>46</v>
      </c>
      <c r="C197" s="44" t="s">
        <v>905</v>
      </c>
      <c r="D197" s="47">
        <v>8061</v>
      </c>
      <c r="E197" s="46" t="s">
        <v>913</v>
      </c>
      <c r="F197" s="35">
        <f>35000*3</f>
        <v>105000</v>
      </c>
      <c r="G197" s="35">
        <f>35000*3</f>
        <v>105000</v>
      </c>
      <c r="H197" s="35">
        <v>0</v>
      </c>
      <c r="I197" s="35">
        <f t="shared" si="6"/>
        <v>105000</v>
      </c>
      <c r="J197" s="36">
        <f t="shared" si="7"/>
        <v>0</v>
      </c>
      <c r="K197" s="48" t="s">
        <v>83</v>
      </c>
      <c r="L197" s="48" t="s">
        <v>83</v>
      </c>
      <c r="M197" s="38">
        <v>41820</v>
      </c>
      <c r="N197" s="48" t="s">
        <v>84</v>
      </c>
      <c r="O197" s="35">
        <v>35000</v>
      </c>
      <c r="P197" s="35">
        <v>35000</v>
      </c>
      <c r="Q197" s="35">
        <v>35000</v>
      </c>
      <c r="R197" s="35"/>
      <c r="S197" s="41"/>
    </row>
    <row r="198" spans="1:19" s="15" customFormat="1" ht="26.25" customHeight="1" x14ac:dyDescent="0.2">
      <c r="A198" s="43" t="s">
        <v>897</v>
      </c>
      <c r="B198" s="46" t="s">
        <v>46</v>
      </c>
      <c r="C198" s="44" t="s">
        <v>570</v>
      </c>
      <c r="D198" s="47">
        <v>8070</v>
      </c>
      <c r="E198" s="46" t="s">
        <v>913</v>
      </c>
      <c r="F198" s="35">
        <f>25000*3</f>
        <v>75000</v>
      </c>
      <c r="G198" s="35">
        <f>25000*3</f>
        <v>75000</v>
      </c>
      <c r="H198" s="35">
        <v>0</v>
      </c>
      <c r="I198" s="35">
        <f t="shared" si="6"/>
        <v>75000</v>
      </c>
      <c r="J198" s="36">
        <f t="shared" si="7"/>
        <v>0</v>
      </c>
      <c r="K198" s="48" t="s">
        <v>83</v>
      </c>
      <c r="L198" s="48" t="s">
        <v>83</v>
      </c>
      <c r="M198" s="38">
        <v>41820</v>
      </c>
      <c r="N198" s="48" t="s">
        <v>84</v>
      </c>
      <c r="O198" s="35">
        <v>25000</v>
      </c>
      <c r="P198" s="35">
        <v>25000</v>
      </c>
      <c r="Q198" s="35">
        <v>25000</v>
      </c>
      <c r="R198" s="35"/>
      <c r="S198" s="41"/>
    </row>
    <row r="199" spans="1:19" s="15" customFormat="1" ht="26.25" customHeight="1" x14ac:dyDescent="0.2">
      <c r="A199" s="43" t="s">
        <v>898</v>
      </c>
      <c r="B199" s="46" t="s">
        <v>46</v>
      </c>
      <c r="C199" s="44" t="s">
        <v>906</v>
      </c>
      <c r="D199" s="47">
        <v>8073</v>
      </c>
      <c r="E199" s="46" t="s">
        <v>914</v>
      </c>
      <c r="F199" s="35">
        <f>15000*3</f>
        <v>45000</v>
      </c>
      <c r="G199" s="35">
        <f>15000*3</f>
        <v>45000</v>
      </c>
      <c r="H199" s="35">
        <v>0</v>
      </c>
      <c r="I199" s="35">
        <f t="shared" si="6"/>
        <v>45000</v>
      </c>
      <c r="J199" s="36">
        <f t="shared" si="7"/>
        <v>0</v>
      </c>
      <c r="K199" s="48" t="s">
        <v>83</v>
      </c>
      <c r="L199" s="48" t="s">
        <v>83</v>
      </c>
      <c r="M199" s="38">
        <v>41820</v>
      </c>
      <c r="N199" s="48" t="s">
        <v>84</v>
      </c>
      <c r="O199" s="35">
        <v>15000</v>
      </c>
      <c r="P199" s="35">
        <v>15000</v>
      </c>
      <c r="Q199" s="35">
        <v>15000</v>
      </c>
      <c r="R199" s="35"/>
      <c r="S199" s="41"/>
    </row>
    <row r="200" spans="1:19" s="15" customFormat="1" ht="26.25" customHeight="1" x14ac:dyDescent="0.2">
      <c r="A200" s="43" t="s">
        <v>903</v>
      </c>
      <c r="B200" s="46" t="s">
        <v>46</v>
      </c>
      <c r="C200" s="44" t="s">
        <v>910</v>
      </c>
      <c r="D200" s="47">
        <v>8205</v>
      </c>
      <c r="E200" s="46" t="s">
        <v>919</v>
      </c>
      <c r="F200" s="35">
        <f>30000*3</f>
        <v>90000</v>
      </c>
      <c r="G200" s="35">
        <f>30000*3</f>
        <v>90000</v>
      </c>
      <c r="H200" s="35">
        <v>0</v>
      </c>
      <c r="I200" s="35">
        <f t="shared" si="6"/>
        <v>90000</v>
      </c>
      <c r="J200" s="36">
        <f t="shared" si="7"/>
        <v>0</v>
      </c>
      <c r="K200" s="48" t="s">
        <v>83</v>
      </c>
      <c r="L200" s="48" t="s">
        <v>83</v>
      </c>
      <c r="M200" s="38">
        <v>41820</v>
      </c>
      <c r="N200" s="48" t="s">
        <v>84</v>
      </c>
      <c r="O200" s="35">
        <v>30000</v>
      </c>
      <c r="P200" s="35">
        <v>30000</v>
      </c>
      <c r="Q200" s="35">
        <v>30000</v>
      </c>
      <c r="R200" s="35"/>
      <c r="S200" s="41"/>
    </row>
    <row r="201" spans="1:19" s="15" customFormat="1" ht="26.25" customHeight="1" x14ac:dyDescent="0.2">
      <c r="A201" s="43" t="s">
        <v>920</v>
      </c>
      <c r="B201" s="46" t="s">
        <v>46</v>
      </c>
      <c r="C201" s="44" t="s">
        <v>521</v>
      </c>
      <c r="D201" s="47">
        <v>8108</v>
      </c>
      <c r="E201" s="46" t="s">
        <v>930</v>
      </c>
      <c r="F201" s="35">
        <v>77769</v>
      </c>
      <c r="G201" s="35">
        <v>77769</v>
      </c>
      <c r="H201" s="35"/>
      <c r="I201" s="35">
        <f t="shared" si="6"/>
        <v>77769</v>
      </c>
      <c r="J201" s="36">
        <f t="shared" si="7"/>
        <v>0</v>
      </c>
      <c r="K201" s="48" t="s">
        <v>83</v>
      </c>
      <c r="L201" s="48" t="s">
        <v>83</v>
      </c>
      <c r="M201" s="52">
        <v>42822</v>
      </c>
      <c r="N201" s="48"/>
      <c r="O201" s="35">
        <v>77769</v>
      </c>
      <c r="P201" s="35"/>
      <c r="Q201" s="35"/>
      <c r="R201" s="35"/>
      <c r="S201" s="41"/>
    </row>
    <row r="202" spans="1:19" s="15" customFormat="1" ht="26.25" customHeight="1" x14ac:dyDescent="0.2">
      <c r="A202" s="43" t="s">
        <v>921</v>
      </c>
      <c r="B202" s="46" t="s">
        <v>46</v>
      </c>
      <c r="C202" s="44" t="s">
        <v>928</v>
      </c>
      <c r="D202" s="47">
        <v>8186</v>
      </c>
      <c r="E202" s="46" t="s">
        <v>931</v>
      </c>
      <c r="F202" s="35">
        <v>96175</v>
      </c>
      <c r="G202" s="35">
        <v>96175</v>
      </c>
      <c r="H202" s="35">
        <v>0</v>
      </c>
      <c r="I202" s="35">
        <f t="shared" si="6"/>
        <v>96175</v>
      </c>
      <c r="J202" s="36">
        <f t="shared" si="7"/>
        <v>0</v>
      </c>
      <c r="K202" s="48" t="s">
        <v>83</v>
      </c>
      <c r="L202" s="48" t="s">
        <v>85</v>
      </c>
      <c r="M202" s="38">
        <v>41698</v>
      </c>
      <c r="N202" s="48"/>
      <c r="O202" s="35">
        <v>96175</v>
      </c>
      <c r="P202" s="35"/>
      <c r="Q202" s="35"/>
      <c r="R202" s="35"/>
      <c r="S202" s="41"/>
    </row>
    <row r="203" spans="1:19" s="15" customFormat="1" ht="26.25" customHeight="1" x14ac:dyDescent="0.2">
      <c r="A203" s="43" t="s">
        <v>925</v>
      </c>
      <c r="B203" s="46" t="s">
        <v>46</v>
      </c>
      <c r="C203" s="44" t="s">
        <v>910</v>
      </c>
      <c r="D203" s="47">
        <v>8205</v>
      </c>
      <c r="E203" s="46" t="s">
        <v>919</v>
      </c>
      <c r="F203" s="35">
        <f>40000+40000</f>
        <v>80000</v>
      </c>
      <c r="G203" s="35">
        <v>50000</v>
      </c>
      <c r="H203" s="35">
        <f>40000+40000</f>
        <v>80000</v>
      </c>
      <c r="I203" s="35">
        <f t="shared" si="6"/>
        <v>130000</v>
      </c>
      <c r="J203" s="36">
        <f t="shared" si="7"/>
        <v>1.6</v>
      </c>
      <c r="K203" s="48" t="s">
        <v>83</v>
      </c>
      <c r="L203" s="48" t="s">
        <v>83</v>
      </c>
      <c r="M203" s="38">
        <v>41820</v>
      </c>
      <c r="N203" s="48" t="s">
        <v>86</v>
      </c>
      <c r="O203" s="35">
        <v>40000</v>
      </c>
      <c r="P203" s="35">
        <v>40000</v>
      </c>
      <c r="Q203" s="35"/>
      <c r="R203" s="35"/>
      <c r="S203" s="41"/>
    </row>
    <row r="204" spans="1:19" s="15" customFormat="1" ht="26.25" customHeight="1" x14ac:dyDescent="0.2">
      <c r="A204" s="43" t="s">
        <v>926</v>
      </c>
      <c r="B204" s="46" t="s">
        <v>46</v>
      </c>
      <c r="C204" s="44" t="s">
        <v>409</v>
      </c>
      <c r="D204" s="47">
        <v>8207</v>
      </c>
      <c r="E204" s="46" t="s">
        <v>934</v>
      </c>
      <c r="F204" s="35">
        <f>30000*2</f>
        <v>60000</v>
      </c>
      <c r="G204" s="35">
        <v>20000</v>
      </c>
      <c r="H204" s="35">
        <f>30000*2</f>
        <v>60000</v>
      </c>
      <c r="I204" s="35">
        <f t="shared" si="6"/>
        <v>80000</v>
      </c>
      <c r="J204" s="36">
        <f t="shared" si="7"/>
        <v>3</v>
      </c>
      <c r="K204" s="48" t="s">
        <v>83</v>
      </c>
      <c r="L204" s="48" t="s">
        <v>83</v>
      </c>
      <c r="M204" s="38">
        <v>41820</v>
      </c>
      <c r="N204" s="48" t="s">
        <v>86</v>
      </c>
      <c r="O204" s="35">
        <v>30000</v>
      </c>
      <c r="P204" s="35">
        <v>30000</v>
      </c>
      <c r="Q204" s="35"/>
      <c r="R204" s="35"/>
      <c r="S204" s="41"/>
    </row>
    <row r="205" spans="1:19" s="15" customFormat="1" ht="26.25" customHeight="1" x14ac:dyDescent="0.2">
      <c r="A205" s="43" t="s">
        <v>971</v>
      </c>
      <c r="B205" s="46" t="s">
        <v>46</v>
      </c>
      <c r="C205" s="44" t="s">
        <v>976</v>
      </c>
      <c r="D205" s="47">
        <v>8273</v>
      </c>
      <c r="E205" s="46" t="s">
        <v>983</v>
      </c>
      <c r="F205" s="35">
        <v>95987</v>
      </c>
      <c r="G205" s="35">
        <v>95987</v>
      </c>
      <c r="H205" s="35">
        <v>0</v>
      </c>
      <c r="I205" s="35">
        <f t="shared" si="6"/>
        <v>95987</v>
      </c>
      <c r="J205" s="36">
        <f t="shared" si="7"/>
        <v>0</v>
      </c>
      <c r="K205" s="48" t="s">
        <v>85</v>
      </c>
      <c r="L205" s="48" t="s">
        <v>85</v>
      </c>
      <c r="M205" s="38">
        <v>41882</v>
      </c>
      <c r="N205" s="48"/>
      <c r="O205" s="35">
        <v>95987</v>
      </c>
      <c r="P205" s="35"/>
      <c r="Q205" s="35"/>
      <c r="R205" s="35"/>
      <c r="S205" s="41"/>
    </row>
    <row r="206" spans="1:19" s="15" customFormat="1" ht="26.25" customHeight="1" x14ac:dyDescent="0.2">
      <c r="A206" s="43" t="s">
        <v>1019</v>
      </c>
      <c r="B206" s="46" t="s">
        <v>46</v>
      </c>
      <c r="C206" s="44" t="s">
        <v>1026</v>
      </c>
      <c r="D206" s="47" t="s">
        <v>1029</v>
      </c>
      <c r="E206" s="46" t="s">
        <v>1033</v>
      </c>
      <c r="F206" s="35">
        <v>3000</v>
      </c>
      <c r="G206" s="35">
        <v>6000</v>
      </c>
      <c r="H206" s="35">
        <v>3000</v>
      </c>
      <c r="I206" s="35">
        <f t="shared" si="6"/>
        <v>9000</v>
      </c>
      <c r="J206" s="36">
        <f t="shared" si="7"/>
        <v>0.5</v>
      </c>
      <c r="K206" s="48" t="s">
        <v>83</v>
      </c>
      <c r="L206" s="48" t="s">
        <v>83</v>
      </c>
      <c r="M206" s="38">
        <v>41820</v>
      </c>
      <c r="N206" s="48" t="s">
        <v>86</v>
      </c>
      <c r="O206" s="35">
        <v>3000</v>
      </c>
      <c r="P206" s="35"/>
      <c r="Q206" s="35"/>
      <c r="R206" s="35"/>
      <c r="S206" s="41"/>
    </row>
    <row r="207" spans="1:19" s="15" customFormat="1" ht="26.25" customHeight="1" x14ac:dyDescent="0.2">
      <c r="A207" s="43" t="s">
        <v>1022</v>
      </c>
      <c r="B207" s="46" t="s">
        <v>46</v>
      </c>
      <c r="C207" s="44" t="s">
        <v>647</v>
      </c>
      <c r="D207" s="47">
        <v>8487</v>
      </c>
      <c r="E207" s="46" t="s">
        <v>1036</v>
      </c>
      <c r="F207" s="35">
        <v>7968</v>
      </c>
      <c r="G207" s="35">
        <v>7968</v>
      </c>
      <c r="H207" s="35">
        <v>0</v>
      </c>
      <c r="I207" s="35">
        <f t="shared" si="6"/>
        <v>7968</v>
      </c>
      <c r="J207" s="36">
        <f t="shared" si="7"/>
        <v>0</v>
      </c>
      <c r="K207" s="48" t="s">
        <v>83</v>
      </c>
      <c r="L207" s="48" t="s">
        <v>83</v>
      </c>
      <c r="M207" s="38">
        <v>41852</v>
      </c>
      <c r="N207" s="48"/>
      <c r="O207" s="35">
        <v>7968</v>
      </c>
      <c r="P207" s="35"/>
      <c r="Q207" s="35"/>
      <c r="R207" s="35"/>
      <c r="S207" s="41"/>
    </row>
    <row r="208" spans="1:19" s="15" customFormat="1" ht="26.25" customHeight="1" x14ac:dyDescent="0.2">
      <c r="A208" s="43" t="s">
        <v>1023</v>
      </c>
      <c r="B208" s="46" t="s">
        <v>46</v>
      </c>
      <c r="C208" s="44" t="s">
        <v>888</v>
      </c>
      <c r="D208" s="47" t="s">
        <v>65</v>
      </c>
      <c r="E208" s="46" t="s">
        <v>1037</v>
      </c>
      <c r="F208" s="35">
        <f>6665*3</f>
        <v>19995</v>
      </c>
      <c r="G208" s="35">
        <f>6665*3</f>
        <v>19995</v>
      </c>
      <c r="H208" s="35">
        <v>0</v>
      </c>
      <c r="I208" s="35">
        <f t="shared" si="6"/>
        <v>19995</v>
      </c>
      <c r="J208" s="36">
        <f t="shared" si="7"/>
        <v>0</v>
      </c>
      <c r="K208" s="48" t="s">
        <v>83</v>
      </c>
      <c r="L208" s="48" t="s">
        <v>83</v>
      </c>
      <c r="M208" s="38">
        <v>41729</v>
      </c>
      <c r="N208" s="48" t="s">
        <v>84</v>
      </c>
      <c r="O208" s="35">
        <v>6665</v>
      </c>
      <c r="P208" s="35">
        <v>6665</v>
      </c>
      <c r="Q208" s="35">
        <v>6665</v>
      </c>
      <c r="R208" s="35"/>
      <c r="S208" s="41"/>
    </row>
    <row r="209" spans="1:19" s="15" customFormat="1" ht="18" customHeight="1" x14ac:dyDescent="0.2">
      <c r="A209" s="43" t="s">
        <v>1038</v>
      </c>
      <c r="B209" s="46" t="s">
        <v>46</v>
      </c>
      <c r="C209" s="44" t="s">
        <v>1044</v>
      </c>
      <c r="D209" s="47">
        <v>8330</v>
      </c>
      <c r="E209" s="46" t="s">
        <v>1048</v>
      </c>
      <c r="F209" s="35">
        <v>7500</v>
      </c>
      <c r="G209" s="35">
        <v>7500</v>
      </c>
      <c r="H209" s="35">
        <v>0</v>
      </c>
      <c r="I209" s="35">
        <f t="shared" si="6"/>
        <v>7500</v>
      </c>
      <c r="J209" s="36">
        <f t="shared" si="7"/>
        <v>0</v>
      </c>
      <c r="K209" s="48" t="s">
        <v>83</v>
      </c>
      <c r="L209" s="48" t="s">
        <v>83</v>
      </c>
      <c r="M209" s="38">
        <v>42124</v>
      </c>
      <c r="N209" s="48"/>
      <c r="O209" s="35">
        <v>7500</v>
      </c>
      <c r="P209" s="35"/>
      <c r="Q209" s="35"/>
      <c r="R209" s="35"/>
      <c r="S209" s="41"/>
    </row>
    <row r="210" spans="1:19" s="15" customFormat="1" ht="26.25" customHeight="1" x14ac:dyDescent="0.2">
      <c r="A210" s="43" t="s">
        <v>556</v>
      </c>
      <c r="B210" s="46" t="s">
        <v>559</v>
      </c>
      <c r="C210" s="44" t="s">
        <v>570</v>
      </c>
      <c r="D210" s="47">
        <v>7741</v>
      </c>
      <c r="E210" s="46" t="s">
        <v>581</v>
      </c>
      <c r="F210" s="35">
        <v>27990</v>
      </c>
      <c r="G210" s="40">
        <v>27990</v>
      </c>
      <c r="H210" s="35">
        <v>0</v>
      </c>
      <c r="I210" s="35">
        <f t="shared" si="6"/>
        <v>27990</v>
      </c>
      <c r="J210" s="36">
        <f t="shared" si="7"/>
        <v>0</v>
      </c>
      <c r="K210" s="48" t="s">
        <v>83</v>
      </c>
      <c r="L210" s="48" t="s">
        <v>83</v>
      </c>
      <c r="M210" s="38">
        <v>41759</v>
      </c>
      <c r="N210" s="48"/>
      <c r="O210" s="35">
        <v>27990</v>
      </c>
      <c r="P210" s="35"/>
      <c r="Q210" s="35"/>
      <c r="R210" s="35"/>
      <c r="S210" s="41"/>
    </row>
    <row r="211" spans="1:19" s="15" customFormat="1" ht="26.25" customHeight="1" x14ac:dyDescent="0.2">
      <c r="A211" s="43" t="s">
        <v>555</v>
      </c>
      <c r="B211" s="46" t="s">
        <v>558</v>
      </c>
      <c r="C211" s="44" t="s">
        <v>569</v>
      </c>
      <c r="D211" s="47">
        <v>7572</v>
      </c>
      <c r="E211" s="46" t="s">
        <v>580</v>
      </c>
      <c r="F211" s="35">
        <v>15000</v>
      </c>
      <c r="G211" s="40">
        <v>15000</v>
      </c>
      <c r="H211" s="35">
        <v>0</v>
      </c>
      <c r="I211" s="35">
        <f t="shared" si="6"/>
        <v>15000</v>
      </c>
      <c r="J211" s="36">
        <f t="shared" si="7"/>
        <v>0</v>
      </c>
      <c r="K211" s="48" t="s">
        <v>83</v>
      </c>
      <c r="L211" s="48" t="s">
        <v>83</v>
      </c>
      <c r="M211" s="38">
        <v>41670</v>
      </c>
      <c r="N211" s="48"/>
      <c r="O211" s="35">
        <v>15000</v>
      </c>
      <c r="P211" s="35"/>
      <c r="Q211" s="35"/>
      <c r="R211" s="35"/>
      <c r="S211" s="41"/>
    </row>
    <row r="212" spans="1:19" s="15" customFormat="1" ht="38.25" customHeight="1" x14ac:dyDescent="0.2">
      <c r="A212" s="43" t="s">
        <v>21</v>
      </c>
      <c r="B212" s="46" t="s">
        <v>39</v>
      </c>
      <c r="C212" s="44" t="s">
        <v>52</v>
      </c>
      <c r="D212" s="34">
        <v>6303</v>
      </c>
      <c r="E212" s="46" t="s">
        <v>70</v>
      </c>
      <c r="F212" s="35">
        <v>40933</v>
      </c>
      <c r="G212" s="40">
        <v>40933</v>
      </c>
      <c r="H212" s="35">
        <v>0</v>
      </c>
      <c r="I212" s="49">
        <f t="shared" si="6"/>
        <v>40933</v>
      </c>
      <c r="J212" s="51">
        <f t="shared" si="7"/>
        <v>0</v>
      </c>
      <c r="K212" s="48" t="s">
        <v>83</v>
      </c>
      <c r="L212" s="48" t="s">
        <v>85</v>
      </c>
      <c r="M212" s="38">
        <v>41639</v>
      </c>
      <c r="N212" s="37"/>
      <c r="O212" s="41">
        <v>40933</v>
      </c>
      <c r="P212" s="41"/>
      <c r="Q212" s="41"/>
      <c r="R212" s="41"/>
      <c r="S212" s="41"/>
    </row>
    <row r="213" spans="1:19" s="15" customFormat="1" ht="26.25" customHeight="1" x14ac:dyDescent="0.2">
      <c r="A213" s="43" t="s">
        <v>32</v>
      </c>
      <c r="B213" s="46" t="s">
        <v>39</v>
      </c>
      <c r="C213" s="44" t="s">
        <v>62</v>
      </c>
      <c r="D213" s="47">
        <v>6545</v>
      </c>
      <c r="E213" s="46" t="s">
        <v>80</v>
      </c>
      <c r="F213" s="35">
        <f>12919*3</f>
        <v>38757</v>
      </c>
      <c r="G213" s="40">
        <f>12919*3</f>
        <v>38757</v>
      </c>
      <c r="H213" s="35">
        <v>0</v>
      </c>
      <c r="I213" s="49">
        <f t="shared" si="6"/>
        <v>38757</v>
      </c>
      <c r="J213" s="51">
        <f t="shared" si="7"/>
        <v>0</v>
      </c>
      <c r="K213" s="48" t="s">
        <v>83</v>
      </c>
      <c r="L213" s="48" t="s">
        <v>85</v>
      </c>
      <c r="M213" s="38">
        <v>41820</v>
      </c>
      <c r="N213" s="48" t="s">
        <v>84</v>
      </c>
      <c r="O213" s="41">
        <v>12919</v>
      </c>
      <c r="P213" s="41">
        <v>12919</v>
      </c>
      <c r="Q213" s="41">
        <v>12919</v>
      </c>
      <c r="R213" s="41"/>
      <c r="S213" s="41"/>
    </row>
    <row r="214" spans="1:19" s="15" customFormat="1" ht="26.25" customHeight="1" x14ac:dyDescent="0.2">
      <c r="A214" s="43" t="s">
        <v>170</v>
      </c>
      <c r="B214" s="46" t="s">
        <v>39</v>
      </c>
      <c r="C214" s="44" t="s">
        <v>177</v>
      </c>
      <c r="D214" s="34">
        <v>6859</v>
      </c>
      <c r="E214" s="46" t="s">
        <v>185</v>
      </c>
      <c r="F214" s="35">
        <v>5500</v>
      </c>
      <c r="G214" s="40">
        <v>5500</v>
      </c>
      <c r="H214" s="35">
        <v>0</v>
      </c>
      <c r="I214" s="35">
        <f t="shared" si="6"/>
        <v>5500</v>
      </c>
      <c r="J214" s="36">
        <f t="shared" si="7"/>
        <v>0</v>
      </c>
      <c r="K214" s="48" t="s">
        <v>83</v>
      </c>
      <c r="L214" s="48" t="s">
        <v>83</v>
      </c>
      <c r="M214" s="38">
        <v>41547</v>
      </c>
      <c r="N214" s="48"/>
      <c r="O214" s="41">
        <v>5500</v>
      </c>
      <c r="P214" s="41"/>
      <c r="Q214" s="41"/>
      <c r="R214" s="41"/>
      <c r="S214" s="41"/>
    </row>
    <row r="215" spans="1:19" s="15" customFormat="1" ht="26.25" customHeight="1" x14ac:dyDescent="0.2">
      <c r="A215" s="43" t="s">
        <v>171</v>
      </c>
      <c r="B215" s="46" t="s">
        <v>39</v>
      </c>
      <c r="C215" s="44" t="s">
        <v>178</v>
      </c>
      <c r="D215" s="34">
        <v>6927</v>
      </c>
      <c r="E215" s="46" t="s">
        <v>183</v>
      </c>
      <c r="F215" s="35">
        <v>9541</v>
      </c>
      <c r="G215" s="40">
        <v>9541</v>
      </c>
      <c r="H215" s="35">
        <v>0</v>
      </c>
      <c r="I215" s="35">
        <f t="shared" si="6"/>
        <v>9541</v>
      </c>
      <c r="J215" s="36">
        <f t="shared" si="7"/>
        <v>0</v>
      </c>
      <c r="K215" s="48" t="s">
        <v>83</v>
      </c>
      <c r="L215" s="48" t="s">
        <v>83</v>
      </c>
      <c r="M215" s="38">
        <v>41489</v>
      </c>
      <c r="N215" s="48"/>
      <c r="O215" s="41">
        <v>9541</v>
      </c>
      <c r="P215" s="41"/>
      <c r="Q215" s="41"/>
      <c r="R215" s="41"/>
      <c r="S215" s="41"/>
    </row>
    <row r="216" spans="1:19" s="15" customFormat="1" ht="26.25" customHeight="1" x14ac:dyDescent="0.2">
      <c r="A216" s="43" t="s">
        <v>172</v>
      </c>
      <c r="B216" s="46" t="s">
        <v>39</v>
      </c>
      <c r="C216" s="44" t="s">
        <v>179</v>
      </c>
      <c r="D216" s="34">
        <v>6928</v>
      </c>
      <c r="E216" s="46" t="s">
        <v>186</v>
      </c>
      <c r="F216" s="35">
        <v>27500</v>
      </c>
      <c r="G216" s="40">
        <v>27500</v>
      </c>
      <c r="H216" s="35">
        <v>0</v>
      </c>
      <c r="I216" s="35">
        <f t="shared" si="6"/>
        <v>27500</v>
      </c>
      <c r="J216" s="36">
        <f t="shared" si="7"/>
        <v>0</v>
      </c>
      <c r="K216" s="48" t="s">
        <v>83</v>
      </c>
      <c r="L216" s="48" t="s">
        <v>83</v>
      </c>
      <c r="M216" s="38">
        <v>41820</v>
      </c>
      <c r="N216" s="37"/>
      <c r="O216" s="41">
        <v>27500</v>
      </c>
      <c r="P216" s="41"/>
      <c r="Q216" s="41"/>
      <c r="R216" s="41"/>
      <c r="S216" s="41"/>
    </row>
    <row r="217" spans="1:19" s="15" customFormat="1" ht="26.25" customHeight="1" x14ac:dyDescent="0.2">
      <c r="A217" s="43" t="s">
        <v>246</v>
      </c>
      <c r="B217" s="46" t="s">
        <v>39</v>
      </c>
      <c r="C217" s="44" t="s">
        <v>253</v>
      </c>
      <c r="D217" s="34">
        <v>6865</v>
      </c>
      <c r="E217" s="46" t="s">
        <v>261</v>
      </c>
      <c r="F217" s="35">
        <v>5672</v>
      </c>
      <c r="G217" s="40">
        <v>5672</v>
      </c>
      <c r="H217" s="35">
        <v>0</v>
      </c>
      <c r="I217" s="35">
        <f t="shared" si="6"/>
        <v>5672</v>
      </c>
      <c r="J217" s="36">
        <f t="shared" si="7"/>
        <v>0</v>
      </c>
      <c r="K217" s="48" t="s">
        <v>83</v>
      </c>
      <c r="L217" s="48" t="s">
        <v>85</v>
      </c>
      <c r="M217" s="38">
        <v>41820</v>
      </c>
      <c r="N217" s="48"/>
      <c r="O217" s="35">
        <v>5672</v>
      </c>
      <c r="P217" s="35"/>
      <c r="Q217" s="35"/>
      <c r="R217" s="35"/>
      <c r="S217" s="41"/>
    </row>
    <row r="218" spans="1:19" s="15" customFormat="1" ht="26.25" customHeight="1" x14ac:dyDescent="0.2">
      <c r="A218" s="43" t="s">
        <v>278</v>
      </c>
      <c r="B218" s="46" t="s">
        <v>39</v>
      </c>
      <c r="C218" s="44" t="s">
        <v>177</v>
      </c>
      <c r="D218" s="34">
        <v>7124</v>
      </c>
      <c r="E218" s="46" t="s">
        <v>307</v>
      </c>
      <c r="F218" s="35">
        <v>5941</v>
      </c>
      <c r="G218" s="40">
        <v>5941</v>
      </c>
      <c r="H218" s="35">
        <v>0</v>
      </c>
      <c r="I218" s="35">
        <f t="shared" si="6"/>
        <v>5941</v>
      </c>
      <c r="J218" s="36">
        <f t="shared" si="7"/>
        <v>0</v>
      </c>
      <c r="K218" s="48" t="s">
        <v>83</v>
      </c>
      <c r="L218" s="48" t="s">
        <v>83</v>
      </c>
      <c r="M218" s="38">
        <v>41488</v>
      </c>
      <c r="N218" s="48"/>
      <c r="O218" s="35">
        <v>5941</v>
      </c>
      <c r="P218" s="35"/>
      <c r="Q218" s="35"/>
      <c r="R218" s="35"/>
      <c r="S218" s="41"/>
    </row>
    <row r="219" spans="1:19" s="15" customFormat="1" ht="26.25" customHeight="1" x14ac:dyDescent="0.2">
      <c r="A219" s="43" t="s">
        <v>427</v>
      </c>
      <c r="B219" s="46" t="s">
        <v>39</v>
      </c>
      <c r="C219" s="44" t="s">
        <v>441</v>
      </c>
      <c r="D219" s="34">
        <v>7166</v>
      </c>
      <c r="E219" s="46" t="s">
        <v>433</v>
      </c>
      <c r="F219" s="35">
        <v>29112</v>
      </c>
      <c r="G219" s="40">
        <v>29112</v>
      </c>
      <c r="H219" s="35">
        <v>0</v>
      </c>
      <c r="I219" s="35">
        <f t="shared" si="6"/>
        <v>29112</v>
      </c>
      <c r="J219" s="36">
        <f t="shared" si="7"/>
        <v>0</v>
      </c>
      <c r="K219" s="48" t="s">
        <v>83</v>
      </c>
      <c r="L219" s="48" t="s">
        <v>85</v>
      </c>
      <c r="M219" s="38">
        <v>41639</v>
      </c>
      <c r="N219" s="48"/>
      <c r="O219" s="35">
        <v>29112</v>
      </c>
      <c r="P219" s="35"/>
      <c r="Q219" s="35"/>
      <c r="R219" s="35"/>
      <c r="S219" s="41"/>
    </row>
    <row r="220" spans="1:19" s="15" customFormat="1" ht="26.25" customHeight="1" x14ac:dyDescent="0.2">
      <c r="A220" s="43" t="s">
        <v>428</v>
      </c>
      <c r="B220" s="46" t="s">
        <v>39</v>
      </c>
      <c r="C220" s="44" t="s">
        <v>442</v>
      </c>
      <c r="D220" s="34">
        <v>7173</v>
      </c>
      <c r="E220" s="46" t="s">
        <v>434</v>
      </c>
      <c r="F220" s="35">
        <v>5950</v>
      </c>
      <c r="G220" s="40">
        <v>5950</v>
      </c>
      <c r="H220" s="35">
        <v>0</v>
      </c>
      <c r="I220" s="35">
        <f t="shared" si="6"/>
        <v>5950</v>
      </c>
      <c r="J220" s="36">
        <f t="shared" si="7"/>
        <v>0</v>
      </c>
      <c r="K220" s="48" t="s">
        <v>83</v>
      </c>
      <c r="L220" s="48" t="s">
        <v>85</v>
      </c>
      <c r="M220" s="38">
        <v>41639</v>
      </c>
      <c r="N220" s="48"/>
      <c r="O220" s="35">
        <v>5950</v>
      </c>
      <c r="P220" s="35"/>
      <c r="Q220" s="35"/>
      <c r="R220" s="35"/>
      <c r="S220" s="41"/>
    </row>
    <row r="221" spans="1:19" s="15" customFormat="1" ht="26.25" customHeight="1" x14ac:dyDescent="0.2">
      <c r="A221" s="43" t="s">
        <v>446</v>
      </c>
      <c r="B221" s="46" t="s">
        <v>39</v>
      </c>
      <c r="C221" s="44" t="s">
        <v>448</v>
      </c>
      <c r="D221" s="34">
        <v>7193</v>
      </c>
      <c r="E221" s="46" t="s">
        <v>450</v>
      </c>
      <c r="F221" s="35">
        <f>98500*3</f>
        <v>295500</v>
      </c>
      <c r="G221" s="40">
        <f>98500*3</f>
        <v>295500</v>
      </c>
      <c r="H221" s="35">
        <v>0</v>
      </c>
      <c r="I221" s="35">
        <f t="shared" si="6"/>
        <v>295500</v>
      </c>
      <c r="J221" s="36">
        <f t="shared" si="7"/>
        <v>0</v>
      </c>
      <c r="K221" s="48" t="s">
        <v>83</v>
      </c>
      <c r="L221" s="48" t="s">
        <v>85</v>
      </c>
      <c r="M221" s="38">
        <v>41820</v>
      </c>
      <c r="N221" s="48" t="s">
        <v>84</v>
      </c>
      <c r="O221" s="35">
        <v>98500</v>
      </c>
      <c r="P221" s="35">
        <v>98500</v>
      </c>
      <c r="Q221" s="35">
        <v>98500</v>
      </c>
      <c r="R221" s="35"/>
      <c r="S221" s="41"/>
    </row>
    <row r="222" spans="1:19" s="15" customFormat="1" ht="26.25" customHeight="1" x14ac:dyDescent="0.2">
      <c r="A222" s="43" t="s">
        <v>455</v>
      </c>
      <c r="B222" s="46" t="s">
        <v>39</v>
      </c>
      <c r="C222" s="44" t="s">
        <v>177</v>
      </c>
      <c r="D222" s="34">
        <v>7218</v>
      </c>
      <c r="E222" s="46" t="s">
        <v>460</v>
      </c>
      <c r="F222" s="35">
        <v>5941</v>
      </c>
      <c r="G222" s="40">
        <v>5941</v>
      </c>
      <c r="H222" s="35">
        <v>0</v>
      </c>
      <c r="I222" s="35">
        <f t="shared" si="6"/>
        <v>5941</v>
      </c>
      <c r="J222" s="36">
        <f t="shared" si="7"/>
        <v>0</v>
      </c>
      <c r="K222" s="48" t="s">
        <v>83</v>
      </c>
      <c r="L222" s="48" t="s">
        <v>83</v>
      </c>
      <c r="M222" s="38">
        <v>41488</v>
      </c>
      <c r="N222" s="48"/>
      <c r="O222" s="35">
        <v>5941</v>
      </c>
      <c r="P222" s="35"/>
      <c r="Q222" s="35"/>
      <c r="R222" s="35"/>
      <c r="S222" s="41"/>
    </row>
    <row r="223" spans="1:19" s="15" customFormat="1" ht="26.25" customHeight="1" x14ac:dyDescent="0.2">
      <c r="A223" s="43" t="s">
        <v>493</v>
      </c>
      <c r="B223" s="46" t="s">
        <v>39</v>
      </c>
      <c r="C223" s="44" t="s">
        <v>522</v>
      </c>
      <c r="D223" s="47">
        <v>7334</v>
      </c>
      <c r="E223" s="46" t="s">
        <v>506</v>
      </c>
      <c r="F223" s="35">
        <v>7125</v>
      </c>
      <c r="G223" s="40">
        <v>7125</v>
      </c>
      <c r="H223" s="35">
        <v>0</v>
      </c>
      <c r="I223" s="35">
        <f t="shared" si="6"/>
        <v>7125</v>
      </c>
      <c r="J223" s="36">
        <f t="shared" si="7"/>
        <v>0</v>
      </c>
      <c r="K223" s="48" t="s">
        <v>83</v>
      </c>
      <c r="L223" s="48" t="s">
        <v>83</v>
      </c>
      <c r="M223" s="38">
        <v>41561</v>
      </c>
      <c r="N223" s="48"/>
      <c r="O223" s="35">
        <v>7125</v>
      </c>
      <c r="P223" s="35"/>
      <c r="Q223" s="35"/>
      <c r="R223" s="35"/>
      <c r="S223" s="41"/>
    </row>
    <row r="224" spans="1:19" s="15" customFormat="1" ht="26.25" customHeight="1" x14ac:dyDescent="0.2">
      <c r="A224" s="43" t="s">
        <v>494</v>
      </c>
      <c r="B224" s="46" t="s">
        <v>39</v>
      </c>
      <c r="C224" s="44" t="s">
        <v>523</v>
      </c>
      <c r="D224" s="34">
        <v>7356</v>
      </c>
      <c r="E224" s="46" t="s">
        <v>507</v>
      </c>
      <c r="F224" s="35">
        <v>30000</v>
      </c>
      <c r="G224" s="40">
        <v>30000</v>
      </c>
      <c r="H224" s="35">
        <v>0</v>
      </c>
      <c r="I224" s="35">
        <f t="shared" si="6"/>
        <v>30000</v>
      </c>
      <c r="J224" s="36">
        <f t="shared" si="7"/>
        <v>0</v>
      </c>
      <c r="K224" s="48" t="s">
        <v>83</v>
      </c>
      <c r="L224" s="48" t="s">
        <v>85</v>
      </c>
      <c r="M224" s="38">
        <v>41820</v>
      </c>
      <c r="N224" s="48"/>
      <c r="O224" s="35">
        <v>30000</v>
      </c>
      <c r="P224" s="35"/>
      <c r="Q224" s="35"/>
      <c r="R224" s="35"/>
      <c r="S224" s="41"/>
    </row>
    <row r="225" spans="1:19" s="15" customFormat="1" ht="26.25" customHeight="1" x14ac:dyDescent="0.2">
      <c r="A225" s="43" t="s">
        <v>497</v>
      </c>
      <c r="B225" s="46" t="s">
        <v>39</v>
      </c>
      <c r="C225" s="44" t="s">
        <v>176</v>
      </c>
      <c r="D225" s="47" t="s">
        <v>530</v>
      </c>
      <c r="E225" s="46" t="s">
        <v>510</v>
      </c>
      <c r="F225" s="35">
        <f>20000*3</f>
        <v>60000</v>
      </c>
      <c r="G225" s="40">
        <v>10000</v>
      </c>
      <c r="H225" s="35">
        <f>20000*3</f>
        <v>60000</v>
      </c>
      <c r="I225" s="35">
        <f t="shared" si="6"/>
        <v>70000</v>
      </c>
      <c r="J225" s="36">
        <f t="shared" si="7"/>
        <v>6</v>
      </c>
      <c r="K225" s="48" t="s">
        <v>83</v>
      </c>
      <c r="L225" s="48" t="s">
        <v>83</v>
      </c>
      <c r="M225" s="38">
        <v>41820</v>
      </c>
      <c r="N225" s="48" t="s">
        <v>86</v>
      </c>
      <c r="O225" s="35">
        <v>20000</v>
      </c>
      <c r="P225" s="35">
        <v>20000</v>
      </c>
      <c r="Q225" s="35">
        <v>20000</v>
      </c>
      <c r="R225" s="35"/>
      <c r="S225" s="41"/>
    </row>
    <row r="226" spans="1:19" s="15" customFormat="1" ht="26.25" customHeight="1" x14ac:dyDescent="0.2">
      <c r="A226" s="43" t="s">
        <v>584</v>
      </c>
      <c r="B226" s="46" t="s">
        <v>39</v>
      </c>
      <c r="C226" s="44" t="s">
        <v>439</v>
      </c>
      <c r="D226" s="47">
        <v>7560</v>
      </c>
      <c r="E226" s="46" t="s">
        <v>592</v>
      </c>
      <c r="F226" s="35">
        <v>5839</v>
      </c>
      <c r="G226" s="40">
        <v>5839</v>
      </c>
      <c r="H226" s="35">
        <v>0</v>
      </c>
      <c r="I226" s="35">
        <f t="shared" si="6"/>
        <v>5839</v>
      </c>
      <c r="J226" s="36">
        <f t="shared" si="7"/>
        <v>0</v>
      </c>
      <c r="K226" s="48" t="s">
        <v>83</v>
      </c>
      <c r="L226" s="48" t="s">
        <v>83</v>
      </c>
      <c r="M226" s="38">
        <v>41547</v>
      </c>
      <c r="N226" s="48"/>
      <c r="O226" s="35">
        <v>5839</v>
      </c>
      <c r="P226" s="35"/>
      <c r="Q226" s="35"/>
      <c r="R226" s="35"/>
      <c r="S226" s="41"/>
    </row>
    <row r="227" spans="1:19" s="15" customFormat="1" ht="26.25" customHeight="1" x14ac:dyDescent="0.2">
      <c r="A227" s="43" t="s">
        <v>614</v>
      </c>
      <c r="B227" s="46" t="s">
        <v>39</v>
      </c>
      <c r="C227" s="44" t="s">
        <v>620</v>
      </c>
      <c r="D227" s="47">
        <v>7586</v>
      </c>
      <c r="E227" s="46" t="s">
        <v>617</v>
      </c>
      <c r="F227" s="35">
        <v>50065</v>
      </c>
      <c r="G227" s="40">
        <v>50065</v>
      </c>
      <c r="H227" s="35">
        <v>0</v>
      </c>
      <c r="I227" s="35">
        <f t="shared" si="6"/>
        <v>50065</v>
      </c>
      <c r="J227" s="36">
        <f t="shared" si="7"/>
        <v>0</v>
      </c>
      <c r="K227" s="48" t="s">
        <v>83</v>
      </c>
      <c r="L227" s="48" t="s">
        <v>83</v>
      </c>
      <c r="M227" s="52">
        <v>41632</v>
      </c>
      <c r="N227" s="48"/>
      <c r="O227" s="35">
        <v>50065</v>
      </c>
      <c r="P227" s="35"/>
      <c r="Q227" s="35"/>
      <c r="R227" s="35"/>
      <c r="S227" s="41"/>
    </row>
    <row r="228" spans="1:19" s="15" customFormat="1" ht="26.25" customHeight="1" x14ac:dyDescent="0.2">
      <c r="A228" s="43" t="s">
        <v>626</v>
      </c>
      <c r="B228" s="46" t="s">
        <v>39</v>
      </c>
      <c r="C228" s="44" t="s">
        <v>631</v>
      </c>
      <c r="D228" s="47">
        <v>7649</v>
      </c>
      <c r="E228" s="46" t="s">
        <v>635</v>
      </c>
      <c r="F228" s="35">
        <v>41040</v>
      </c>
      <c r="G228" s="40">
        <v>41040</v>
      </c>
      <c r="H228" s="35">
        <v>0</v>
      </c>
      <c r="I228" s="35">
        <f t="shared" si="6"/>
        <v>41040</v>
      </c>
      <c r="J228" s="36">
        <f t="shared" si="7"/>
        <v>0</v>
      </c>
      <c r="K228" s="48" t="s">
        <v>83</v>
      </c>
      <c r="L228" s="48" t="s">
        <v>83</v>
      </c>
      <c r="M228" s="38">
        <v>41820</v>
      </c>
      <c r="N228" s="48"/>
      <c r="O228" s="35">
        <v>41040</v>
      </c>
      <c r="P228" s="35"/>
      <c r="Q228" s="35"/>
      <c r="R228" s="35"/>
      <c r="S228" s="41"/>
    </row>
    <row r="229" spans="1:19" s="15" customFormat="1" ht="26.25" customHeight="1" x14ac:dyDescent="0.2">
      <c r="A229" s="43" t="s">
        <v>641</v>
      </c>
      <c r="B229" s="46" t="s">
        <v>39</v>
      </c>
      <c r="C229" s="44" t="s">
        <v>648</v>
      </c>
      <c r="D229" s="47">
        <v>7689</v>
      </c>
      <c r="E229" s="46" t="s">
        <v>646</v>
      </c>
      <c r="F229" s="35">
        <v>46311</v>
      </c>
      <c r="G229" s="40">
        <v>46311</v>
      </c>
      <c r="H229" s="35">
        <v>0</v>
      </c>
      <c r="I229" s="35">
        <f t="shared" si="6"/>
        <v>46311</v>
      </c>
      <c r="J229" s="36">
        <f t="shared" si="7"/>
        <v>0</v>
      </c>
      <c r="K229" s="48" t="s">
        <v>83</v>
      </c>
      <c r="L229" s="48" t="s">
        <v>83</v>
      </c>
      <c r="M229" s="38">
        <v>41729</v>
      </c>
      <c r="N229" s="48"/>
      <c r="O229" s="35">
        <v>46311</v>
      </c>
      <c r="P229" s="35"/>
      <c r="Q229" s="35"/>
      <c r="R229" s="35"/>
      <c r="S229" s="41"/>
    </row>
    <row r="230" spans="1:19" s="15" customFormat="1" ht="26.25" customHeight="1" x14ac:dyDescent="0.2">
      <c r="A230" s="43" t="s">
        <v>642</v>
      </c>
      <c r="B230" s="46" t="s">
        <v>39</v>
      </c>
      <c r="C230" s="44" t="s">
        <v>649</v>
      </c>
      <c r="D230" s="47" t="s">
        <v>643</v>
      </c>
      <c r="E230" s="46" t="s">
        <v>645</v>
      </c>
      <c r="F230" s="35">
        <v>21500</v>
      </c>
      <c r="G230" s="40">
        <v>24000</v>
      </c>
      <c r="H230" s="35">
        <f>30111+24000+21500</f>
        <v>75611</v>
      </c>
      <c r="I230" s="35">
        <f t="shared" si="6"/>
        <v>99611</v>
      </c>
      <c r="J230" s="36">
        <f t="shared" si="7"/>
        <v>3.1504583333333334</v>
      </c>
      <c r="K230" s="48" t="s">
        <v>83</v>
      </c>
      <c r="L230" s="48" t="s">
        <v>83</v>
      </c>
      <c r="M230" s="38">
        <v>41820</v>
      </c>
      <c r="N230" s="48" t="s">
        <v>86</v>
      </c>
      <c r="O230" s="35">
        <v>21500</v>
      </c>
      <c r="P230" s="35"/>
      <c r="Q230" s="35"/>
      <c r="R230" s="35"/>
      <c r="S230" s="41"/>
    </row>
    <row r="231" spans="1:19" s="15" customFormat="1" ht="38.25" customHeight="1" x14ac:dyDescent="0.2">
      <c r="A231" s="43" t="s">
        <v>673</v>
      </c>
      <c r="B231" s="46" t="s">
        <v>39</v>
      </c>
      <c r="C231" s="44" t="s">
        <v>702</v>
      </c>
      <c r="D231" s="47" t="s">
        <v>712</v>
      </c>
      <c r="E231" s="46" t="s">
        <v>689</v>
      </c>
      <c r="F231" s="35">
        <v>4500</v>
      </c>
      <c r="G231" s="40">
        <v>4800</v>
      </c>
      <c r="H231" s="35">
        <v>4500</v>
      </c>
      <c r="I231" s="35">
        <f t="shared" si="6"/>
        <v>9300</v>
      </c>
      <c r="J231" s="36">
        <f t="shared" si="7"/>
        <v>0.9375</v>
      </c>
      <c r="K231" s="48" t="s">
        <v>83</v>
      </c>
      <c r="L231" s="48" t="s">
        <v>83</v>
      </c>
      <c r="M231" s="38">
        <v>41820</v>
      </c>
      <c r="N231" s="48" t="s">
        <v>86</v>
      </c>
      <c r="O231" s="35">
        <v>4500</v>
      </c>
      <c r="P231" s="35"/>
      <c r="Q231" s="35"/>
      <c r="R231" s="35"/>
      <c r="S231" s="41"/>
    </row>
    <row r="232" spans="1:19" s="15" customFormat="1" ht="26.25" customHeight="1" x14ac:dyDescent="0.2">
      <c r="A232" s="43" t="s">
        <v>674</v>
      </c>
      <c r="B232" s="46" t="s">
        <v>39</v>
      </c>
      <c r="C232" s="44" t="s">
        <v>703</v>
      </c>
      <c r="D232" s="47" t="s">
        <v>713</v>
      </c>
      <c r="E232" s="46" t="s">
        <v>690</v>
      </c>
      <c r="F232" s="35">
        <v>5000</v>
      </c>
      <c r="G232" s="40">
        <v>28865</v>
      </c>
      <c r="H232" s="35">
        <v>5000</v>
      </c>
      <c r="I232" s="35">
        <f t="shared" si="6"/>
        <v>33865</v>
      </c>
      <c r="J232" s="36">
        <f t="shared" si="7"/>
        <v>0.17322016282695304</v>
      </c>
      <c r="K232" s="48" t="s">
        <v>83</v>
      </c>
      <c r="L232" s="48" t="s">
        <v>83</v>
      </c>
      <c r="M232" s="38">
        <v>41820</v>
      </c>
      <c r="N232" s="48" t="s">
        <v>86</v>
      </c>
      <c r="O232" s="35">
        <v>5000</v>
      </c>
      <c r="P232" s="35"/>
      <c r="Q232" s="35"/>
      <c r="R232" s="35"/>
      <c r="S232" s="41"/>
    </row>
    <row r="233" spans="1:19" s="15" customFormat="1" ht="26.25" customHeight="1" x14ac:dyDescent="0.2">
      <c r="A233" s="43" t="s">
        <v>675</v>
      </c>
      <c r="B233" s="46" t="s">
        <v>39</v>
      </c>
      <c r="C233" s="44" t="s">
        <v>441</v>
      </c>
      <c r="D233" s="47">
        <v>7773</v>
      </c>
      <c r="E233" s="46" t="s">
        <v>691</v>
      </c>
      <c r="F233" s="35">
        <v>16290</v>
      </c>
      <c r="G233" s="40">
        <v>16290</v>
      </c>
      <c r="H233" s="35">
        <v>0</v>
      </c>
      <c r="I233" s="35">
        <f t="shared" si="6"/>
        <v>16290</v>
      </c>
      <c r="J233" s="36">
        <f t="shared" si="7"/>
        <v>0</v>
      </c>
      <c r="K233" s="48" t="s">
        <v>83</v>
      </c>
      <c r="L233" s="48" t="s">
        <v>85</v>
      </c>
      <c r="M233" s="38">
        <v>41820</v>
      </c>
      <c r="N233" s="48"/>
      <c r="O233" s="35">
        <v>16290</v>
      </c>
      <c r="P233" s="35"/>
      <c r="Q233" s="35"/>
      <c r="R233" s="35"/>
      <c r="S233" s="41"/>
    </row>
    <row r="234" spans="1:19" s="15" customFormat="1" ht="26.25" customHeight="1" x14ac:dyDescent="0.2">
      <c r="A234" s="43" t="s">
        <v>676</v>
      </c>
      <c r="B234" s="46" t="s">
        <v>39</v>
      </c>
      <c r="C234" s="44" t="s">
        <v>704</v>
      </c>
      <c r="D234" s="47">
        <v>7780</v>
      </c>
      <c r="E234" s="46" t="s">
        <v>692</v>
      </c>
      <c r="F234" s="35">
        <v>45000</v>
      </c>
      <c r="G234" s="40">
        <v>45000</v>
      </c>
      <c r="H234" s="35">
        <v>0</v>
      </c>
      <c r="I234" s="35">
        <f t="shared" si="6"/>
        <v>45000</v>
      </c>
      <c r="J234" s="36">
        <f t="shared" si="7"/>
        <v>0</v>
      </c>
      <c r="K234" s="48" t="s">
        <v>83</v>
      </c>
      <c r="L234" s="48" t="s">
        <v>83</v>
      </c>
      <c r="M234" s="38">
        <v>41820</v>
      </c>
      <c r="N234" s="48"/>
      <c r="O234" s="35">
        <v>45000</v>
      </c>
      <c r="P234" s="35"/>
      <c r="Q234" s="35"/>
      <c r="R234" s="35"/>
      <c r="S234" s="41"/>
    </row>
    <row r="235" spans="1:19" s="15" customFormat="1" ht="26.25" customHeight="1" x14ac:dyDescent="0.2">
      <c r="A235" s="43" t="s">
        <v>677</v>
      </c>
      <c r="B235" s="46" t="s">
        <v>39</v>
      </c>
      <c r="C235" s="44" t="s">
        <v>705</v>
      </c>
      <c r="D235" s="47" t="s">
        <v>714</v>
      </c>
      <c r="E235" s="46" t="s">
        <v>693</v>
      </c>
      <c r="F235" s="35">
        <v>20000</v>
      </c>
      <c r="G235" s="40">
        <v>24000</v>
      </c>
      <c r="H235" s="35">
        <f>24000+45000+20000</f>
        <v>89000</v>
      </c>
      <c r="I235" s="35">
        <f t="shared" si="6"/>
        <v>113000</v>
      </c>
      <c r="J235" s="36">
        <f t="shared" si="7"/>
        <v>3.7083333333333335</v>
      </c>
      <c r="K235" s="48" t="s">
        <v>83</v>
      </c>
      <c r="L235" s="48" t="s">
        <v>83</v>
      </c>
      <c r="M235" s="38">
        <v>41820</v>
      </c>
      <c r="N235" s="48" t="s">
        <v>86</v>
      </c>
      <c r="O235" s="35">
        <v>20000</v>
      </c>
      <c r="P235" s="35"/>
      <c r="Q235" s="35"/>
      <c r="R235" s="35"/>
      <c r="S235" s="41"/>
    </row>
    <row r="236" spans="1:19" s="15" customFormat="1" ht="26.25" customHeight="1" x14ac:dyDescent="0.2">
      <c r="A236" s="43" t="s">
        <v>684</v>
      </c>
      <c r="B236" s="46" t="s">
        <v>39</v>
      </c>
      <c r="C236" s="44" t="s">
        <v>620</v>
      </c>
      <c r="D236" s="47">
        <v>7810</v>
      </c>
      <c r="E236" s="46" t="s">
        <v>699</v>
      </c>
      <c r="F236" s="35">
        <v>15000</v>
      </c>
      <c r="G236" s="40">
        <v>15000</v>
      </c>
      <c r="H236" s="35">
        <v>0</v>
      </c>
      <c r="I236" s="35">
        <f t="shared" si="6"/>
        <v>15000</v>
      </c>
      <c r="J236" s="36">
        <f t="shared" si="7"/>
        <v>0</v>
      </c>
      <c r="K236" s="48" t="s">
        <v>83</v>
      </c>
      <c r="L236" s="48" t="s">
        <v>83</v>
      </c>
      <c r="M236" s="38">
        <v>41698</v>
      </c>
      <c r="N236" s="48"/>
      <c r="O236" s="35">
        <v>15000</v>
      </c>
      <c r="P236" s="35"/>
      <c r="Q236" s="35"/>
      <c r="R236" s="35"/>
      <c r="S236" s="41"/>
    </row>
    <row r="237" spans="1:19" s="15" customFormat="1" ht="26.25" customHeight="1" x14ac:dyDescent="0.2">
      <c r="A237" s="43" t="s">
        <v>685</v>
      </c>
      <c r="B237" s="46" t="s">
        <v>39</v>
      </c>
      <c r="C237" s="44" t="s">
        <v>710</v>
      </c>
      <c r="D237" s="47">
        <v>7823</v>
      </c>
      <c r="E237" s="46" t="s">
        <v>700</v>
      </c>
      <c r="F237" s="35">
        <v>10001</v>
      </c>
      <c r="G237" s="40">
        <v>10001</v>
      </c>
      <c r="H237" s="35">
        <v>0</v>
      </c>
      <c r="I237" s="35">
        <f t="shared" si="6"/>
        <v>10001</v>
      </c>
      <c r="J237" s="36">
        <f t="shared" si="7"/>
        <v>0</v>
      </c>
      <c r="K237" s="48" t="s">
        <v>83</v>
      </c>
      <c r="L237" s="48" t="s">
        <v>83</v>
      </c>
      <c r="M237" s="38">
        <v>41685</v>
      </c>
      <c r="N237" s="48"/>
      <c r="O237" s="35">
        <v>10001</v>
      </c>
      <c r="P237" s="35"/>
      <c r="Q237" s="35"/>
      <c r="R237" s="35"/>
      <c r="S237" s="41"/>
    </row>
    <row r="238" spans="1:19" s="15" customFormat="1" ht="38.25" customHeight="1" x14ac:dyDescent="0.2">
      <c r="A238" s="43" t="s">
        <v>719</v>
      </c>
      <c r="B238" s="46" t="s">
        <v>39</v>
      </c>
      <c r="C238" s="44" t="s">
        <v>442</v>
      </c>
      <c r="D238" s="47">
        <v>7862</v>
      </c>
      <c r="E238" s="46" t="s">
        <v>742</v>
      </c>
      <c r="F238" s="35">
        <v>5090</v>
      </c>
      <c r="G238" s="40">
        <v>5090</v>
      </c>
      <c r="H238" s="35">
        <v>0</v>
      </c>
      <c r="I238" s="35">
        <f t="shared" si="6"/>
        <v>5090</v>
      </c>
      <c r="J238" s="36">
        <f t="shared" si="7"/>
        <v>0</v>
      </c>
      <c r="K238" s="48" t="s">
        <v>83</v>
      </c>
      <c r="L238" s="48" t="s">
        <v>83</v>
      </c>
      <c r="M238" s="38">
        <v>41698</v>
      </c>
      <c r="N238" s="48"/>
      <c r="O238" s="35">
        <v>5090</v>
      </c>
      <c r="P238" s="35"/>
      <c r="Q238" s="35"/>
      <c r="R238" s="35"/>
      <c r="S238" s="41"/>
    </row>
    <row r="239" spans="1:19" s="15" customFormat="1" ht="38.25" customHeight="1" x14ac:dyDescent="0.2">
      <c r="A239" s="43" t="s">
        <v>720</v>
      </c>
      <c r="B239" s="46" t="s">
        <v>39</v>
      </c>
      <c r="C239" s="44" t="s">
        <v>733</v>
      </c>
      <c r="D239" s="47">
        <v>7872</v>
      </c>
      <c r="E239" s="46" t="s">
        <v>742</v>
      </c>
      <c r="F239" s="35">
        <v>5365</v>
      </c>
      <c r="G239" s="40">
        <v>5365</v>
      </c>
      <c r="H239" s="35">
        <v>0</v>
      </c>
      <c r="I239" s="35">
        <f t="shared" si="6"/>
        <v>5365</v>
      </c>
      <c r="J239" s="36">
        <f t="shared" si="7"/>
        <v>0</v>
      </c>
      <c r="K239" s="48" t="s">
        <v>83</v>
      </c>
      <c r="L239" s="48" t="s">
        <v>83</v>
      </c>
      <c r="M239" s="38">
        <v>41698</v>
      </c>
      <c r="N239" s="48"/>
      <c r="O239" s="35">
        <v>5365</v>
      </c>
      <c r="P239" s="35"/>
      <c r="Q239" s="35"/>
      <c r="R239" s="35"/>
      <c r="S239" s="41"/>
    </row>
    <row r="240" spans="1:19" s="15" customFormat="1" ht="26.25" customHeight="1" x14ac:dyDescent="0.2">
      <c r="A240" s="43" t="s">
        <v>836</v>
      </c>
      <c r="B240" s="46" t="s">
        <v>39</v>
      </c>
      <c r="C240" s="44" t="s">
        <v>845</v>
      </c>
      <c r="D240" s="47">
        <v>8077</v>
      </c>
      <c r="E240" s="46" t="s">
        <v>856</v>
      </c>
      <c r="F240" s="35">
        <f>8500*3</f>
        <v>25500</v>
      </c>
      <c r="G240" s="40">
        <f>8500*3</f>
        <v>25500</v>
      </c>
      <c r="H240" s="35">
        <v>0</v>
      </c>
      <c r="I240" s="35">
        <f t="shared" si="6"/>
        <v>25500</v>
      </c>
      <c r="J240" s="36">
        <f t="shared" si="7"/>
        <v>0</v>
      </c>
      <c r="K240" s="48" t="s">
        <v>83</v>
      </c>
      <c r="L240" s="48" t="s">
        <v>85</v>
      </c>
      <c r="M240" s="38">
        <v>41820</v>
      </c>
      <c r="N240" s="48" t="s">
        <v>84</v>
      </c>
      <c r="O240" s="35">
        <v>8500</v>
      </c>
      <c r="P240" s="35">
        <v>8500</v>
      </c>
      <c r="Q240" s="35">
        <v>8500</v>
      </c>
      <c r="R240" s="35"/>
      <c r="S240" s="41"/>
    </row>
    <row r="241" spans="1:19" s="15" customFormat="1" ht="26.25" customHeight="1" x14ac:dyDescent="0.2">
      <c r="A241" s="43" t="s">
        <v>837</v>
      </c>
      <c r="B241" s="46" t="s">
        <v>39</v>
      </c>
      <c r="C241" s="44" t="s">
        <v>846</v>
      </c>
      <c r="D241" s="47">
        <v>8081</v>
      </c>
      <c r="E241" s="46" t="s">
        <v>856</v>
      </c>
      <c r="F241" s="35">
        <f>8500*3</f>
        <v>25500</v>
      </c>
      <c r="G241" s="40">
        <f>8500*3</f>
        <v>25500</v>
      </c>
      <c r="H241" s="35">
        <v>0</v>
      </c>
      <c r="I241" s="35">
        <f t="shared" si="6"/>
        <v>25500</v>
      </c>
      <c r="J241" s="36">
        <f t="shared" si="7"/>
        <v>0</v>
      </c>
      <c r="K241" s="48" t="s">
        <v>83</v>
      </c>
      <c r="L241" s="48" t="s">
        <v>85</v>
      </c>
      <c r="M241" s="38">
        <v>41820</v>
      </c>
      <c r="N241" s="48" t="s">
        <v>84</v>
      </c>
      <c r="O241" s="35">
        <v>8500</v>
      </c>
      <c r="P241" s="35">
        <v>8500</v>
      </c>
      <c r="Q241" s="35">
        <v>8500</v>
      </c>
      <c r="R241" s="35"/>
      <c r="S241" s="41"/>
    </row>
    <row r="242" spans="1:19" s="15" customFormat="1" ht="26.25" customHeight="1" x14ac:dyDescent="0.2">
      <c r="A242" s="43" t="s">
        <v>840</v>
      </c>
      <c r="B242" s="46" t="s">
        <v>39</v>
      </c>
      <c r="C242" s="44" t="s">
        <v>849</v>
      </c>
      <c r="D242" s="47">
        <v>8086</v>
      </c>
      <c r="E242" s="46" t="s">
        <v>859</v>
      </c>
      <c r="F242" s="35">
        <v>10000</v>
      </c>
      <c r="G242" s="40">
        <v>10000</v>
      </c>
      <c r="H242" s="35">
        <v>0</v>
      </c>
      <c r="I242" s="35">
        <f t="shared" si="6"/>
        <v>10000</v>
      </c>
      <c r="J242" s="36">
        <f t="shared" si="7"/>
        <v>0</v>
      </c>
      <c r="K242" s="48" t="s">
        <v>83</v>
      </c>
      <c r="L242" s="48" t="s">
        <v>83</v>
      </c>
      <c r="M242" s="38">
        <v>41756</v>
      </c>
      <c r="N242" s="48"/>
      <c r="O242" s="35">
        <v>10000</v>
      </c>
      <c r="P242" s="35"/>
      <c r="Q242" s="35"/>
      <c r="R242" s="35"/>
      <c r="S242" s="41"/>
    </row>
    <row r="243" spans="1:19" s="15" customFormat="1" ht="26.25" customHeight="1" x14ac:dyDescent="0.2">
      <c r="A243" s="43" t="s">
        <v>867</v>
      </c>
      <c r="B243" s="46" t="s">
        <v>39</v>
      </c>
      <c r="C243" s="44" t="s">
        <v>877</v>
      </c>
      <c r="D243" s="47">
        <v>8138</v>
      </c>
      <c r="E243" s="46" t="s">
        <v>873</v>
      </c>
      <c r="F243" s="35">
        <v>77000</v>
      </c>
      <c r="G243" s="35">
        <v>77000</v>
      </c>
      <c r="H243" s="35">
        <v>0</v>
      </c>
      <c r="I243" s="35">
        <f t="shared" si="6"/>
        <v>77000</v>
      </c>
      <c r="J243" s="36">
        <f t="shared" si="7"/>
        <v>0</v>
      </c>
      <c r="K243" s="48" t="s">
        <v>83</v>
      </c>
      <c r="L243" s="48" t="s">
        <v>83</v>
      </c>
      <c r="M243" s="38">
        <v>42004</v>
      </c>
      <c r="N243" s="48"/>
      <c r="O243" s="35">
        <v>77000</v>
      </c>
      <c r="P243" s="35"/>
      <c r="Q243" s="35"/>
      <c r="R243" s="35"/>
      <c r="S243" s="41"/>
    </row>
    <row r="244" spans="1:19" s="15" customFormat="1" ht="26.25" customHeight="1" x14ac:dyDescent="0.2">
      <c r="A244" s="43" t="s">
        <v>901</v>
      </c>
      <c r="B244" s="46" t="s">
        <v>39</v>
      </c>
      <c r="C244" s="44" t="s">
        <v>441</v>
      </c>
      <c r="D244" s="47">
        <v>8176</v>
      </c>
      <c r="E244" s="46" t="s">
        <v>917</v>
      </c>
      <c r="F244" s="35">
        <v>6500</v>
      </c>
      <c r="G244" s="35">
        <v>6500</v>
      </c>
      <c r="H244" s="35">
        <v>0</v>
      </c>
      <c r="I244" s="35">
        <f t="shared" si="6"/>
        <v>6500</v>
      </c>
      <c r="J244" s="36">
        <f t="shared" si="7"/>
        <v>0</v>
      </c>
      <c r="K244" s="48" t="s">
        <v>83</v>
      </c>
      <c r="L244" s="48" t="s">
        <v>85</v>
      </c>
      <c r="M244" s="38">
        <v>41820</v>
      </c>
      <c r="N244" s="48"/>
      <c r="O244" s="35">
        <v>6500</v>
      </c>
      <c r="P244" s="35"/>
      <c r="Q244" s="35"/>
      <c r="R244" s="35"/>
      <c r="S244" s="41"/>
    </row>
    <row r="245" spans="1:19" s="15" customFormat="1" ht="26.25" customHeight="1" x14ac:dyDescent="0.2">
      <c r="A245" s="43" t="s">
        <v>902</v>
      </c>
      <c r="B245" s="46" t="s">
        <v>39</v>
      </c>
      <c r="C245" s="44" t="s">
        <v>909</v>
      </c>
      <c r="D245" s="47">
        <v>8195</v>
      </c>
      <c r="E245" s="46" t="s">
        <v>918</v>
      </c>
      <c r="F245" s="35">
        <v>8884</v>
      </c>
      <c r="G245" s="35">
        <v>8884</v>
      </c>
      <c r="H245" s="35">
        <v>0</v>
      </c>
      <c r="I245" s="35">
        <f t="shared" si="6"/>
        <v>8884</v>
      </c>
      <c r="J245" s="36">
        <f t="shared" si="7"/>
        <v>0</v>
      </c>
      <c r="K245" s="48" t="s">
        <v>83</v>
      </c>
      <c r="L245" s="48" t="s">
        <v>85</v>
      </c>
      <c r="M245" s="38">
        <v>41746</v>
      </c>
      <c r="N245" s="48"/>
      <c r="O245" s="35">
        <v>8884</v>
      </c>
      <c r="P245" s="35"/>
      <c r="Q245" s="35"/>
      <c r="R245" s="35"/>
      <c r="S245" s="41"/>
    </row>
    <row r="246" spans="1:19" s="15" customFormat="1" ht="26.25" customHeight="1" x14ac:dyDescent="0.2">
      <c r="A246" s="43" t="s">
        <v>936</v>
      </c>
      <c r="B246" s="46" t="s">
        <v>39</v>
      </c>
      <c r="C246" s="44" t="s">
        <v>648</v>
      </c>
      <c r="D246" s="47">
        <v>8232</v>
      </c>
      <c r="E246" s="46" t="s">
        <v>946</v>
      </c>
      <c r="F246" s="35">
        <v>19600</v>
      </c>
      <c r="G246" s="35">
        <v>19600</v>
      </c>
      <c r="H246" s="35">
        <v>0</v>
      </c>
      <c r="I246" s="35">
        <f t="shared" si="6"/>
        <v>19600</v>
      </c>
      <c r="J246" s="36">
        <f t="shared" si="7"/>
        <v>0</v>
      </c>
      <c r="K246" s="48" t="s">
        <v>83</v>
      </c>
      <c r="L246" s="48" t="s">
        <v>83</v>
      </c>
      <c r="M246" s="38">
        <v>41754</v>
      </c>
      <c r="N246" s="48"/>
      <c r="O246" s="35">
        <v>19600</v>
      </c>
      <c r="P246" s="35"/>
      <c r="Q246" s="35"/>
      <c r="R246" s="35"/>
      <c r="S246" s="41"/>
    </row>
    <row r="247" spans="1:19" s="15" customFormat="1" ht="26.25" customHeight="1" x14ac:dyDescent="0.2">
      <c r="A247" s="43" t="s">
        <v>938</v>
      </c>
      <c r="B247" s="46" t="s">
        <v>39</v>
      </c>
      <c r="C247" s="44" t="s">
        <v>942</v>
      </c>
      <c r="D247" s="47">
        <v>8242</v>
      </c>
      <c r="E247" s="46" t="s">
        <v>948</v>
      </c>
      <c r="F247" s="35">
        <v>5400</v>
      </c>
      <c r="G247" s="35">
        <v>5400</v>
      </c>
      <c r="H247" s="35">
        <v>0</v>
      </c>
      <c r="I247" s="35">
        <f t="shared" si="6"/>
        <v>5400</v>
      </c>
      <c r="J247" s="36">
        <f t="shared" si="7"/>
        <v>0</v>
      </c>
      <c r="K247" s="48" t="s">
        <v>83</v>
      </c>
      <c r="L247" s="48" t="s">
        <v>83</v>
      </c>
      <c r="M247" s="38">
        <v>41756</v>
      </c>
      <c r="N247" s="48"/>
      <c r="O247" s="35">
        <v>5400</v>
      </c>
      <c r="P247" s="35"/>
      <c r="Q247" s="35"/>
      <c r="R247" s="35"/>
      <c r="S247" s="41"/>
    </row>
    <row r="248" spans="1:19" s="15" customFormat="1" ht="26.25" customHeight="1" x14ac:dyDescent="0.2">
      <c r="A248" s="43" t="s">
        <v>990</v>
      </c>
      <c r="B248" s="46" t="s">
        <v>39</v>
      </c>
      <c r="C248" s="44" t="s">
        <v>523</v>
      </c>
      <c r="D248" s="47" t="s">
        <v>995</v>
      </c>
      <c r="E248" s="46" t="s">
        <v>996</v>
      </c>
      <c r="F248" s="35">
        <v>9900</v>
      </c>
      <c r="G248" s="35">
        <v>30000</v>
      </c>
      <c r="H248" s="35">
        <v>9900</v>
      </c>
      <c r="I248" s="35">
        <f t="shared" si="6"/>
        <v>39900</v>
      </c>
      <c r="J248" s="36">
        <f t="shared" si="7"/>
        <v>0.33</v>
      </c>
      <c r="K248" s="48" t="s">
        <v>83</v>
      </c>
      <c r="L248" s="48" t="s">
        <v>83</v>
      </c>
      <c r="M248" s="38">
        <v>41820</v>
      </c>
      <c r="N248" s="48" t="s">
        <v>86</v>
      </c>
      <c r="O248" s="35">
        <v>9900</v>
      </c>
      <c r="P248" s="35"/>
      <c r="Q248" s="35"/>
      <c r="R248" s="35"/>
      <c r="S248" s="41"/>
    </row>
    <row r="249" spans="1:19" s="15" customFormat="1" ht="26.25" customHeight="1" x14ac:dyDescent="0.2">
      <c r="A249" s="43" t="s">
        <v>1017</v>
      </c>
      <c r="B249" s="46" t="s">
        <v>39</v>
      </c>
      <c r="C249" s="44" t="s">
        <v>1025</v>
      </c>
      <c r="D249" s="47" t="s">
        <v>1028</v>
      </c>
      <c r="E249" s="46" t="s">
        <v>1031</v>
      </c>
      <c r="F249" s="35">
        <v>1017</v>
      </c>
      <c r="G249" s="35">
        <v>4398</v>
      </c>
      <c r="H249" s="35">
        <v>1017</v>
      </c>
      <c r="I249" s="35">
        <f t="shared" si="6"/>
        <v>5415</v>
      </c>
      <c r="J249" s="36">
        <f t="shared" si="7"/>
        <v>0.23124147339699863</v>
      </c>
      <c r="K249" s="48" t="s">
        <v>83</v>
      </c>
      <c r="L249" s="48" t="s">
        <v>83</v>
      </c>
      <c r="M249" s="38">
        <v>41820</v>
      </c>
      <c r="N249" s="48" t="s">
        <v>86</v>
      </c>
      <c r="O249" s="35">
        <v>1017</v>
      </c>
      <c r="P249" s="35"/>
      <c r="Q249" s="35"/>
      <c r="R249" s="35"/>
      <c r="S249" s="41"/>
    </row>
    <row r="250" spans="1:19" s="15" customFormat="1" ht="26.25" customHeight="1" x14ac:dyDescent="0.2">
      <c r="A250" s="43" t="s">
        <v>1020</v>
      </c>
      <c r="B250" s="46" t="s">
        <v>39</v>
      </c>
      <c r="C250" s="44" t="s">
        <v>441</v>
      </c>
      <c r="D250" s="47" t="s">
        <v>1030</v>
      </c>
      <c r="E250" s="46" t="s">
        <v>1034</v>
      </c>
      <c r="F250" s="35">
        <v>2443</v>
      </c>
      <c r="G250" s="35">
        <v>6500</v>
      </c>
      <c r="H250" s="35">
        <v>2443</v>
      </c>
      <c r="I250" s="35">
        <f t="shared" si="6"/>
        <v>8943</v>
      </c>
      <c r="J250" s="36">
        <f t="shared" si="7"/>
        <v>0.37584615384615383</v>
      </c>
      <c r="K250" s="48" t="s">
        <v>83</v>
      </c>
      <c r="L250" s="48" t="s">
        <v>83</v>
      </c>
      <c r="M250" s="38">
        <v>41820</v>
      </c>
      <c r="N250" s="48" t="s">
        <v>86</v>
      </c>
      <c r="O250" s="35">
        <v>2443</v>
      </c>
      <c r="P250" s="35"/>
      <c r="Q250" s="35"/>
      <c r="R250" s="35"/>
      <c r="S250" s="41"/>
    </row>
    <row r="251" spans="1:19" s="15" customFormat="1" ht="26.25" customHeight="1" x14ac:dyDescent="0.2">
      <c r="A251" s="43" t="s">
        <v>1041</v>
      </c>
      <c r="B251" s="46" t="s">
        <v>39</v>
      </c>
      <c r="C251" s="44" t="s">
        <v>631</v>
      </c>
      <c r="D251" s="47" t="s">
        <v>1046</v>
      </c>
      <c r="E251" s="46" t="s">
        <v>1051</v>
      </c>
      <c r="F251" s="35">
        <v>1500</v>
      </c>
      <c r="G251" s="35">
        <v>41040</v>
      </c>
      <c r="H251" s="35">
        <v>1500</v>
      </c>
      <c r="I251" s="35">
        <f t="shared" si="6"/>
        <v>42540</v>
      </c>
      <c r="J251" s="36">
        <f t="shared" si="7"/>
        <v>3.6549707602339179E-2</v>
      </c>
      <c r="K251" s="48" t="s">
        <v>83</v>
      </c>
      <c r="L251" s="48" t="s">
        <v>83</v>
      </c>
      <c r="M251" s="38">
        <v>41820</v>
      </c>
      <c r="N251" s="48" t="s">
        <v>86</v>
      </c>
      <c r="O251" s="35">
        <v>1500</v>
      </c>
      <c r="P251" s="35"/>
      <c r="Q251" s="35"/>
      <c r="R251" s="35"/>
      <c r="S251" s="41"/>
    </row>
    <row r="252" spans="1:19" s="15" customFormat="1" ht="26.25" customHeight="1" x14ac:dyDescent="0.2">
      <c r="A252" s="43" t="s">
        <v>17</v>
      </c>
      <c r="B252" s="45" t="s">
        <v>35</v>
      </c>
      <c r="C252" s="45" t="s">
        <v>48</v>
      </c>
      <c r="D252" s="53">
        <v>5834</v>
      </c>
      <c r="E252" s="46" t="s">
        <v>66</v>
      </c>
      <c r="F252" s="41">
        <f>28520*3</f>
        <v>85560</v>
      </c>
      <c r="G252" s="41">
        <f>28520*3</f>
        <v>85560</v>
      </c>
      <c r="H252" s="42">
        <v>0</v>
      </c>
      <c r="I252" s="49">
        <f t="shared" si="6"/>
        <v>85560</v>
      </c>
      <c r="J252" s="51">
        <f t="shared" si="7"/>
        <v>0</v>
      </c>
      <c r="K252" s="48" t="s">
        <v>83</v>
      </c>
      <c r="L252" s="48" t="s">
        <v>83</v>
      </c>
      <c r="M252" s="38">
        <v>42185</v>
      </c>
      <c r="N252" s="48" t="s">
        <v>84</v>
      </c>
      <c r="O252" s="41">
        <f>28520+28520</f>
        <v>57040</v>
      </c>
      <c r="P252" s="41">
        <v>28520</v>
      </c>
      <c r="Q252" s="41"/>
      <c r="R252" s="41"/>
      <c r="S252" s="41"/>
    </row>
    <row r="253" spans="1:19" s="15" customFormat="1" ht="26.25" customHeight="1" x14ac:dyDescent="0.2">
      <c r="A253" s="43" t="s">
        <v>119</v>
      </c>
      <c r="B253" s="46" t="s">
        <v>124</v>
      </c>
      <c r="C253" s="44" t="s">
        <v>130</v>
      </c>
      <c r="D253" s="47">
        <v>6581</v>
      </c>
      <c r="E253" s="46" t="s">
        <v>139</v>
      </c>
      <c r="F253" s="35">
        <v>95000</v>
      </c>
      <c r="G253" s="40">
        <v>95000</v>
      </c>
      <c r="H253" s="35">
        <v>0</v>
      </c>
      <c r="I253" s="49">
        <f t="shared" si="6"/>
        <v>95000</v>
      </c>
      <c r="J253" s="51">
        <f t="shared" si="7"/>
        <v>0</v>
      </c>
      <c r="K253" s="48" t="s">
        <v>85</v>
      </c>
      <c r="L253" s="48" t="s">
        <v>85</v>
      </c>
      <c r="M253" s="52">
        <v>41820</v>
      </c>
      <c r="N253" s="48"/>
      <c r="O253" s="41">
        <v>95000</v>
      </c>
      <c r="P253" s="41"/>
      <c r="Q253" s="41"/>
      <c r="R253" s="41"/>
      <c r="S253" s="41"/>
    </row>
    <row r="254" spans="1:19" s="15" customFormat="1" ht="26.25" customHeight="1" x14ac:dyDescent="0.2">
      <c r="A254" s="43" t="s">
        <v>120</v>
      </c>
      <c r="B254" s="46" t="s">
        <v>124</v>
      </c>
      <c r="C254" s="44" t="s">
        <v>131</v>
      </c>
      <c r="D254" s="47">
        <v>6583</v>
      </c>
      <c r="E254" s="46" t="s">
        <v>139</v>
      </c>
      <c r="F254" s="35">
        <v>95000</v>
      </c>
      <c r="G254" s="40">
        <v>95000</v>
      </c>
      <c r="H254" s="35">
        <v>0</v>
      </c>
      <c r="I254" s="49">
        <f t="shared" si="6"/>
        <v>95000</v>
      </c>
      <c r="J254" s="51">
        <f t="shared" si="7"/>
        <v>0</v>
      </c>
      <c r="K254" s="48" t="s">
        <v>85</v>
      </c>
      <c r="L254" s="48" t="s">
        <v>85</v>
      </c>
      <c r="M254" s="38">
        <v>41820</v>
      </c>
      <c r="N254" s="48"/>
      <c r="O254" s="41">
        <v>95000</v>
      </c>
      <c r="P254" s="41"/>
      <c r="Q254" s="41"/>
      <c r="R254" s="41"/>
      <c r="S254" s="41"/>
    </row>
    <row r="255" spans="1:19" s="15" customFormat="1" ht="26.25" customHeight="1" x14ac:dyDescent="0.2">
      <c r="A255" s="43" t="s">
        <v>121</v>
      </c>
      <c r="B255" s="46" t="s">
        <v>124</v>
      </c>
      <c r="C255" s="44" t="s">
        <v>132</v>
      </c>
      <c r="D255" s="47">
        <v>6582</v>
      </c>
      <c r="E255" s="46" t="s">
        <v>139</v>
      </c>
      <c r="F255" s="35">
        <v>95000</v>
      </c>
      <c r="G255" s="40">
        <v>95000</v>
      </c>
      <c r="H255" s="35">
        <v>0</v>
      </c>
      <c r="I255" s="49">
        <f t="shared" si="6"/>
        <v>95000</v>
      </c>
      <c r="J255" s="51">
        <f t="shared" si="7"/>
        <v>0</v>
      </c>
      <c r="K255" s="48" t="s">
        <v>85</v>
      </c>
      <c r="L255" s="48" t="s">
        <v>85</v>
      </c>
      <c r="M255" s="38">
        <v>41820</v>
      </c>
      <c r="N255" s="48"/>
      <c r="O255" s="41">
        <v>95000</v>
      </c>
      <c r="P255" s="41"/>
      <c r="Q255" s="41"/>
      <c r="R255" s="41"/>
      <c r="S255" s="41"/>
    </row>
    <row r="256" spans="1:19" s="15" customFormat="1" ht="26.25" customHeight="1" x14ac:dyDescent="0.2">
      <c r="A256" s="43" t="s">
        <v>122</v>
      </c>
      <c r="B256" s="46" t="s">
        <v>124</v>
      </c>
      <c r="C256" s="44" t="s">
        <v>133</v>
      </c>
      <c r="D256" s="47">
        <v>6580</v>
      </c>
      <c r="E256" s="46" t="s">
        <v>140</v>
      </c>
      <c r="F256" s="35">
        <v>95000</v>
      </c>
      <c r="G256" s="40">
        <v>95000</v>
      </c>
      <c r="H256" s="35">
        <v>0</v>
      </c>
      <c r="I256" s="49">
        <f t="shared" si="6"/>
        <v>95000</v>
      </c>
      <c r="J256" s="51">
        <f t="shared" si="7"/>
        <v>0</v>
      </c>
      <c r="K256" s="48" t="s">
        <v>85</v>
      </c>
      <c r="L256" s="48" t="s">
        <v>85</v>
      </c>
      <c r="M256" s="38">
        <v>41820</v>
      </c>
      <c r="N256" s="48"/>
      <c r="O256" s="41">
        <v>95000</v>
      </c>
      <c r="P256" s="41"/>
      <c r="Q256" s="41"/>
      <c r="R256" s="41"/>
      <c r="S256" s="41"/>
    </row>
    <row r="257" spans="1:19" s="15" customFormat="1" ht="26.25" customHeight="1" x14ac:dyDescent="0.2">
      <c r="A257" s="43" t="s">
        <v>266</v>
      </c>
      <c r="B257" s="46" t="s">
        <v>124</v>
      </c>
      <c r="C257" s="44" t="s">
        <v>280</v>
      </c>
      <c r="D257" s="47">
        <v>6588</v>
      </c>
      <c r="E257" s="46" t="s">
        <v>295</v>
      </c>
      <c r="F257" s="35">
        <v>49000</v>
      </c>
      <c r="G257" s="40">
        <v>49000</v>
      </c>
      <c r="H257" s="35">
        <v>0</v>
      </c>
      <c r="I257" s="35">
        <f t="shared" si="6"/>
        <v>49000</v>
      </c>
      <c r="J257" s="36">
        <f t="shared" si="7"/>
        <v>0</v>
      </c>
      <c r="K257" s="48" t="s">
        <v>83</v>
      </c>
      <c r="L257" s="48" t="s">
        <v>83</v>
      </c>
      <c r="M257" s="52">
        <v>41820</v>
      </c>
      <c r="N257" s="48"/>
      <c r="O257" s="35">
        <v>49000</v>
      </c>
      <c r="P257" s="35"/>
      <c r="Q257" s="35"/>
      <c r="R257" s="35"/>
      <c r="S257" s="41"/>
    </row>
    <row r="258" spans="1:19" s="15" customFormat="1" ht="26.25" customHeight="1" x14ac:dyDescent="0.2">
      <c r="A258" s="43" t="s">
        <v>267</v>
      </c>
      <c r="B258" s="46" t="s">
        <v>124</v>
      </c>
      <c r="C258" s="44" t="s">
        <v>281</v>
      </c>
      <c r="D258" s="34">
        <v>6589</v>
      </c>
      <c r="E258" s="46" t="s">
        <v>296</v>
      </c>
      <c r="F258" s="35">
        <v>49000</v>
      </c>
      <c r="G258" s="40">
        <v>49000</v>
      </c>
      <c r="H258" s="35">
        <v>0</v>
      </c>
      <c r="I258" s="35">
        <f t="shared" ref="I258:I321" si="8">G258+H258</f>
        <v>49000</v>
      </c>
      <c r="J258" s="36">
        <f t="shared" ref="J258:J321" si="9">IF(G258=0,100%,(I258-G258)/G258)</f>
        <v>0</v>
      </c>
      <c r="K258" s="48" t="s">
        <v>83</v>
      </c>
      <c r="L258" s="48" t="s">
        <v>83</v>
      </c>
      <c r="M258" s="52">
        <v>41820</v>
      </c>
      <c r="N258" s="48"/>
      <c r="O258" s="35">
        <v>49000</v>
      </c>
      <c r="P258" s="35"/>
      <c r="Q258" s="35"/>
      <c r="R258" s="35"/>
      <c r="S258" s="41"/>
    </row>
    <row r="259" spans="1:19" s="15" customFormat="1" ht="26.25" customHeight="1" x14ac:dyDescent="0.2">
      <c r="A259" s="43" t="s">
        <v>899</v>
      </c>
      <c r="B259" s="46" t="s">
        <v>124</v>
      </c>
      <c r="C259" s="44" t="s">
        <v>907</v>
      </c>
      <c r="D259" s="47" t="s">
        <v>911</v>
      </c>
      <c r="E259" s="46" t="s">
        <v>915</v>
      </c>
      <c r="F259" s="35">
        <v>10000</v>
      </c>
      <c r="G259" s="35">
        <v>4990</v>
      </c>
      <c r="H259" s="35">
        <v>10000</v>
      </c>
      <c r="I259" s="35">
        <f t="shared" si="8"/>
        <v>14990</v>
      </c>
      <c r="J259" s="36">
        <f t="shared" si="9"/>
        <v>2.0040080160320639</v>
      </c>
      <c r="K259" s="48" t="s">
        <v>83</v>
      </c>
      <c r="L259" s="48" t="s">
        <v>83</v>
      </c>
      <c r="M259" s="38">
        <v>41820</v>
      </c>
      <c r="N259" s="48" t="s">
        <v>86</v>
      </c>
      <c r="O259" s="35">
        <v>10000</v>
      </c>
      <c r="P259" s="35"/>
      <c r="Q259" s="35"/>
      <c r="R259" s="35"/>
      <c r="S259" s="41"/>
    </row>
    <row r="260" spans="1:19" s="15" customFormat="1" ht="26.25" customHeight="1" x14ac:dyDescent="0.2">
      <c r="A260" s="43" t="s">
        <v>922</v>
      </c>
      <c r="B260" s="46" t="s">
        <v>124</v>
      </c>
      <c r="C260" s="44" t="s">
        <v>132</v>
      </c>
      <c r="D260" s="47">
        <v>8196</v>
      </c>
      <c r="E260" s="46" t="s">
        <v>932</v>
      </c>
      <c r="F260" s="35">
        <f t="shared" ref="F260:G262" si="10">95000*3</f>
        <v>285000</v>
      </c>
      <c r="G260" s="35">
        <f t="shared" si="10"/>
        <v>285000</v>
      </c>
      <c r="H260" s="35">
        <v>0</v>
      </c>
      <c r="I260" s="35">
        <f t="shared" si="8"/>
        <v>285000</v>
      </c>
      <c r="J260" s="36">
        <f t="shared" si="9"/>
        <v>0</v>
      </c>
      <c r="K260" s="48" t="s">
        <v>83</v>
      </c>
      <c r="L260" s="48" t="s">
        <v>85</v>
      </c>
      <c r="M260" s="38">
        <v>42124</v>
      </c>
      <c r="N260" s="48" t="s">
        <v>84</v>
      </c>
      <c r="O260" s="35">
        <v>95000</v>
      </c>
      <c r="P260" s="35">
        <v>95000</v>
      </c>
      <c r="Q260" s="35">
        <v>95000</v>
      </c>
      <c r="R260" s="35"/>
      <c r="S260" s="41"/>
    </row>
    <row r="261" spans="1:19" s="15" customFormat="1" ht="26.25" customHeight="1" x14ac:dyDescent="0.2">
      <c r="A261" s="43" t="s">
        <v>923</v>
      </c>
      <c r="B261" s="46" t="s">
        <v>124</v>
      </c>
      <c r="C261" s="44" t="s">
        <v>929</v>
      </c>
      <c r="D261" s="47">
        <v>8197</v>
      </c>
      <c r="E261" s="46" t="s">
        <v>932</v>
      </c>
      <c r="F261" s="35">
        <f t="shared" si="10"/>
        <v>285000</v>
      </c>
      <c r="G261" s="35">
        <f t="shared" si="10"/>
        <v>285000</v>
      </c>
      <c r="H261" s="35">
        <v>0</v>
      </c>
      <c r="I261" s="35">
        <f t="shared" si="8"/>
        <v>285000</v>
      </c>
      <c r="J261" s="36">
        <f t="shared" si="9"/>
        <v>0</v>
      </c>
      <c r="K261" s="48" t="s">
        <v>83</v>
      </c>
      <c r="L261" s="48" t="s">
        <v>85</v>
      </c>
      <c r="M261" s="38">
        <v>42124</v>
      </c>
      <c r="N261" s="48" t="s">
        <v>84</v>
      </c>
      <c r="O261" s="35">
        <v>95000</v>
      </c>
      <c r="P261" s="35">
        <v>95000</v>
      </c>
      <c r="Q261" s="35">
        <v>95000</v>
      </c>
      <c r="R261" s="35"/>
      <c r="S261" s="41"/>
    </row>
    <row r="262" spans="1:19" s="15" customFormat="1" ht="26.25" customHeight="1" x14ac:dyDescent="0.2">
      <c r="A262" s="43" t="s">
        <v>924</v>
      </c>
      <c r="B262" s="46" t="s">
        <v>124</v>
      </c>
      <c r="C262" s="44" t="s">
        <v>1088</v>
      </c>
      <c r="D262" s="47">
        <v>8198</v>
      </c>
      <c r="E262" s="46" t="s">
        <v>933</v>
      </c>
      <c r="F262" s="35">
        <f t="shared" si="10"/>
        <v>285000</v>
      </c>
      <c r="G262" s="35">
        <f t="shared" si="10"/>
        <v>285000</v>
      </c>
      <c r="H262" s="35">
        <v>0</v>
      </c>
      <c r="I262" s="35">
        <f t="shared" si="8"/>
        <v>285000</v>
      </c>
      <c r="J262" s="36">
        <f t="shared" si="9"/>
        <v>0</v>
      </c>
      <c r="K262" s="48" t="s">
        <v>83</v>
      </c>
      <c r="L262" s="48" t="s">
        <v>85</v>
      </c>
      <c r="M262" s="38">
        <v>42124</v>
      </c>
      <c r="N262" s="48" t="s">
        <v>84</v>
      </c>
      <c r="O262" s="35">
        <v>95000</v>
      </c>
      <c r="P262" s="35">
        <v>95000</v>
      </c>
      <c r="Q262" s="35">
        <v>95000</v>
      </c>
      <c r="R262" s="35"/>
      <c r="S262" s="41"/>
    </row>
    <row r="263" spans="1:19" s="15" customFormat="1" ht="26.25" customHeight="1" x14ac:dyDescent="0.2">
      <c r="A263" s="43" t="s">
        <v>1059</v>
      </c>
      <c r="B263" s="46" t="s">
        <v>124</v>
      </c>
      <c r="C263" s="44" t="s">
        <v>1067</v>
      </c>
      <c r="D263" s="47">
        <v>8409</v>
      </c>
      <c r="E263" s="46" t="s">
        <v>1075</v>
      </c>
      <c r="F263" s="35">
        <f>99000*3</f>
        <v>297000</v>
      </c>
      <c r="G263" s="35">
        <f>99000*3</f>
        <v>297000</v>
      </c>
      <c r="H263" s="35">
        <v>0</v>
      </c>
      <c r="I263" s="35">
        <f t="shared" si="8"/>
        <v>297000</v>
      </c>
      <c r="J263" s="36">
        <f t="shared" si="9"/>
        <v>0</v>
      </c>
      <c r="K263" s="48" t="s">
        <v>83</v>
      </c>
      <c r="L263" s="48" t="s">
        <v>83</v>
      </c>
      <c r="M263" s="38">
        <v>42185</v>
      </c>
      <c r="N263" s="48" t="s">
        <v>84</v>
      </c>
      <c r="O263" s="35"/>
      <c r="P263" s="35">
        <v>99000</v>
      </c>
      <c r="Q263" s="35">
        <v>99000</v>
      </c>
      <c r="R263" s="35">
        <v>99000</v>
      </c>
      <c r="S263" s="35"/>
    </row>
    <row r="264" spans="1:19" s="15" customFormat="1" ht="26.25" customHeight="1" x14ac:dyDescent="0.2">
      <c r="A264" s="43" t="s">
        <v>1062</v>
      </c>
      <c r="B264" s="46" t="s">
        <v>124</v>
      </c>
      <c r="C264" s="44" t="s">
        <v>1069</v>
      </c>
      <c r="D264" s="47" t="s">
        <v>65</v>
      </c>
      <c r="E264" s="46" t="s">
        <v>1078</v>
      </c>
      <c r="F264" s="35">
        <f>99000*3</f>
        <v>297000</v>
      </c>
      <c r="G264" s="35">
        <f>99000*3</f>
        <v>297000</v>
      </c>
      <c r="H264" s="35">
        <v>0</v>
      </c>
      <c r="I264" s="35">
        <f t="shared" si="8"/>
        <v>297000</v>
      </c>
      <c r="J264" s="36">
        <f t="shared" si="9"/>
        <v>0</v>
      </c>
      <c r="K264" s="48" t="s">
        <v>83</v>
      </c>
      <c r="L264" s="48" t="s">
        <v>83</v>
      </c>
      <c r="M264" s="38">
        <v>42551</v>
      </c>
      <c r="N264" s="48" t="s">
        <v>84</v>
      </c>
      <c r="O264" s="35"/>
      <c r="P264" s="35">
        <v>99000</v>
      </c>
      <c r="Q264" s="35">
        <v>99000</v>
      </c>
      <c r="R264" s="35">
        <v>99000</v>
      </c>
      <c r="S264" s="35"/>
    </row>
    <row r="265" spans="1:19" s="15" customFormat="1" ht="26.25" customHeight="1" x14ac:dyDescent="0.2">
      <c r="A265" s="43" t="s">
        <v>1001</v>
      </c>
      <c r="B265" s="46" t="s">
        <v>1006</v>
      </c>
      <c r="C265" s="44" t="s">
        <v>1007</v>
      </c>
      <c r="D265" s="47" t="s">
        <v>1011</v>
      </c>
      <c r="E265" s="46" t="s">
        <v>1012</v>
      </c>
      <c r="F265" s="35">
        <f>10000*3</f>
        <v>30000</v>
      </c>
      <c r="G265" s="35">
        <f>10000*3</f>
        <v>30000</v>
      </c>
      <c r="H265" s="35">
        <v>0</v>
      </c>
      <c r="I265" s="35">
        <f t="shared" si="8"/>
        <v>30000</v>
      </c>
      <c r="J265" s="36">
        <f t="shared" si="9"/>
        <v>0</v>
      </c>
      <c r="K265" s="48" t="s">
        <v>83</v>
      </c>
      <c r="L265" s="48" t="s">
        <v>83</v>
      </c>
      <c r="M265" s="38">
        <v>42136</v>
      </c>
      <c r="N265" s="48" t="s">
        <v>84</v>
      </c>
      <c r="O265" s="35">
        <v>10000</v>
      </c>
      <c r="P265" s="35">
        <v>10000</v>
      </c>
      <c r="Q265" s="35">
        <v>10000</v>
      </c>
      <c r="R265" s="35"/>
      <c r="S265" s="41"/>
    </row>
    <row r="266" spans="1:19" s="15" customFormat="1" ht="18" customHeight="1" x14ac:dyDescent="0.2">
      <c r="A266" s="43" t="s">
        <v>843</v>
      </c>
      <c r="B266" s="46" t="s">
        <v>940</v>
      </c>
      <c r="C266" s="44" t="s">
        <v>851</v>
      </c>
      <c r="D266" s="47">
        <v>8132</v>
      </c>
      <c r="E266" s="46" t="s">
        <v>861</v>
      </c>
      <c r="F266" s="35">
        <f>11065+11500+12000</f>
        <v>34565</v>
      </c>
      <c r="G266" s="35">
        <f>11065+11500+12000</f>
        <v>34565</v>
      </c>
      <c r="H266" s="35">
        <v>0</v>
      </c>
      <c r="I266" s="35">
        <f t="shared" si="8"/>
        <v>34565</v>
      </c>
      <c r="J266" s="36">
        <f t="shared" si="9"/>
        <v>0</v>
      </c>
      <c r="K266" s="48" t="s">
        <v>83</v>
      </c>
      <c r="L266" s="48" t="s">
        <v>83</v>
      </c>
      <c r="M266" s="38">
        <v>42110</v>
      </c>
      <c r="N266" s="48" t="s">
        <v>84</v>
      </c>
      <c r="O266" s="35">
        <v>11065</v>
      </c>
      <c r="P266" s="35">
        <v>11500</v>
      </c>
      <c r="Q266" s="35">
        <v>12000</v>
      </c>
      <c r="R266" s="35"/>
      <c r="S266" s="41"/>
    </row>
    <row r="267" spans="1:19" s="15" customFormat="1" ht="26.25" customHeight="1" x14ac:dyDescent="0.2">
      <c r="A267" s="43" t="s">
        <v>844</v>
      </c>
      <c r="B267" s="46" t="s">
        <v>940</v>
      </c>
      <c r="C267" s="44" t="s">
        <v>852</v>
      </c>
      <c r="D267" s="47">
        <v>8135</v>
      </c>
      <c r="E267" s="46" t="s">
        <v>862</v>
      </c>
      <c r="F267" s="35">
        <f>22340+4500+5000</f>
        <v>31840</v>
      </c>
      <c r="G267" s="35">
        <f>22340+4500+5000</f>
        <v>31840</v>
      </c>
      <c r="H267" s="35">
        <v>0</v>
      </c>
      <c r="I267" s="35">
        <f t="shared" si="8"/>
        <v>31840</v>
      </c>
      <c r="J267" s="36">
        <f t="shared" si="9"/>
        <v>0</v>
      </c>
      <c r="K267" s="48" t="s">
        <v>83</v>
      </c>
      <c r="L267" s="48" t="s">
        <v>83</v>
      </c>
      <c r="M267" s="38">
        <v>42094</v>
      </c>
      <c r="N267" s="48" t="s">
        <v>84</v>
      </c>
      <c r="O267" s="35">
        <v>22340</v>
      </c>
      <c r="P267" s="35">
        <v>4500</v>
      </c>
      <c r="Q267" s="35">
        <v>5000</v>
      </c>
      <c r="R267" s="35"/>
      <c r="S267" s="41"/>
    </row>
    <row r="268" spans="1:19" s="15" customFormat="1" ht="26.25" customHeight="1" x14ac:dyDescent="0.2">
      <c r="A268" s="43" t="s">
        <v>935</v>
      </c>
      <c r="B268" s="46" t="s">
        <v>940</v>
      </c>
      <c r="C268" s="44" t="s">
        <v>941</v>
      </c>
      <c r="D268" s="47" t="s">
        <v>944</v>
      </c>
      <c r="E268" s="46" t="s">
        <v>945</v>
      </c>
      <c r="F268" s="35">
        <v>4200</v>
      </c>
      <c r="G268" s="35">
        <v>22969</v>
      </c>
      <c r="H268" s="35">
        <v>4200</v>
      </c>
      <c r="I268" s="35">
        <f t="shared" si="8"/>
        <v>27169</v>
      </c>
      <c r="J268" s="36">
        <f t="shared" si="9"/>
        <v>0.18285515259697854</v>
      </c>
      <c r="K268" s="48" t="s">
        <v>83</v>
      </c>
      <c r="L268" s="48" t="s">
        <v>83</v>
      </c>
      <c r="M268" s="38">
        <v>41817</v>
      </c>
      <c r="N268" s="48" t="s">
        <v>86</v>
      </c>
      <c r="O268" s="35">
        <v>4200</v>
      </c>
      <c r="P268" s="35"/>
      <c r="Q268" s="35"/>
      <c r="R268" s="35"/>
      <c r="S268" s="41"/>
    </row>
    <row r="269" spans="1:19" s="15" customFormat="1" ht="26.25" customHeight="1" x14ac:dyDescent="0.2">
      <c r="A269" s="43" t="s">
        <v>952</v>
      </c>
      <c r="B269" s="46" t="s">
        <v>940</v>
      </c>
      <c r="C269" s="44" t="s">
        <v>852</v>
      </c>
      <c r="D269" s="47">
        <v>8249</v>
      </c>
      <c r="E269" s="46" t="s">
        <v>965</v>
      </c>
      <c r="F269" s="35">
        <v>11890</v>
      </c>
      <c r="G269" s="35">
        <v>11890</v>
      </c>
      <c r="H269" s="35">
        <v>0</v>
      </c>
      <c r="I269" s="35">
        <f t="shared" si="8"/>
        <v>11890</v>
      </c>
      <c r="J269" s="36">
        <f t="shared" si="9"/>
        <v>0</v>
      </c>
      <c r="K269" s="48" t="s">
        <v>83</v>
      </c>
      <c r="L269" s="48" t="s">
        <v>83</v>
      </c>
      <c r="M269" s="38">
        <v>42094</v>
      </c>
      <c r="N269" s="48"/>
      <c r="O269" s="35">
        <v>11890</v>
      </c>
      <c r="P269" s="35"/>
      <c r="Q269" s="35"/>
      <c r="R269" s="35"/>
      <c r="S269" s="41"/>
    </row>
    <row r="270" spans="1:19" s="15" customFormat="1" ht="26.25" customHeight="1" x14ac:dyDescent="0.2">
      <c r="A270" s="43" t="s">
        <v>954</v>
      </c>
      <c r="B270" s="46" t="s">
        <v>940</v>
      </c>
      <c r="C270" s="44" t="s">
        <v>959</v>
      </c>
      <c r="D270" s="47">
        <v>8258</v>
      </c>
      <c r="E270" s="46" t="s">
        <v>967</v>
      </c>
      <c r="F270" s="35">
        <f>5055+6000+6500</f>
        <v>17555</v>
      </c>
      <c r="G270" s="35">
        <f>5055+6000+6500</f>
        <v>17555</v>
      </c>
      <c r="H270" s="35">
        <v>0</v>
      </c>
      <c r="I270" s="35">
        <f t="shared" si="8"/>
        <v>17555</v>
      </c>
      <c r="J270" s="36">
        <f t="shared" si="9"/>
        <v>0</v>
      </c>
      <c r="K270" s="48" t="s">
        <v>83</v>
      </c>
      <c r="L270" s="48" t="s">
        <v>83</v>
      </c>
      <c r="M270" s="38">
        <v>42137</v>
      </c>
      <c r="N270" s="48" t="s">
        <v>84</v>
      </c>
      <c r="O270" s="35">
        <v>5055</v>
      </c>
      <c r="P270" s="35">
        <v>6000</v>
      </c>
      <c r="Q270" s="35">
        <v>6500</v>
      </c>
      <c r="R270" s="35"/>
      <c r="S270" s="41"/>
    </row>
    <row r="271" spans="1:19" s="15" customFormat="1" ht="26.25" customHeight="1" x14ac:dyDescent="0.2">
      <c r="A271" s="43" t="s">
        <v>955</v>
      </c>
      <c r="B271" s="46" t="s">
        <v>940</v>
      </c>
      <c r="C271" s="44" t="s">
        <v>960</v>
      </c>
      <c r="D271" s="47" t="s">
        <v>963</v>
      </c>
      <c r="E271" s="46" t="s">
        <v>968</v>
      </c>
      <c r="F271" s="35">
        <v>21000</v>
      </c>
      <c r="G271" s="35">
        <v>15000</v>
      </c>
      <c r="H271" s="35">
        <v>21000</v>
      </c>
      <c r="I271" s="35">
        <f t="shared" si="8"/>
        <v>36000</v>
      </c>
      <c r="J271" s="36">
        <f t="shared" si="9"/>
        <v>1.4</v>
      </c>
      <c r="K271" s="48" t="s">
        <v>83</v>
      </c>
      <c r="L271" s="48" t="s">
        <v>83</v>
      </c>
      <c r="M271" s="38">
        <v>41820</v>
      </c>
      <c r="N271" s="48" t="s">
        <v>86</v>
      </c>
      <c r="O271" s="35">
        <v>21000</v>
      </c>
      <c r="P271" s="35"/>
      <c r="Q271" s="35"/>
      <c r="R271" s="35"/>
      <c r="S271" s="41"/>
    </row>
    <row r="272" spans="1:19" s="15" customFormat="1" ht="26.25" customHeight="1" x14ac:dyDescent="0.2">
      <c r="A272" s="43" t="s">
        <v>957</v>
      </c>
      <c r="B272" s="46" t="s">
        <v>940</v>
      </c>
      <c r="C272" s="44" t="s">
        <v>962</v>
      </c>
      <c r="D272" s="47">
        <v>8302</v>
      </c>
      <c r="E272" s="46" t="s">
        <v>970</v>
      </c>
      <c r="F272" s="35">
        <v>28000</v>
      </c>
      <c r="G272" s="35">
        <v>28000</v>
      </c>
      <c r="H272" s="35">
        <v>0</v>
      </c>
      <c r="I272" s="35">
        <f t="shared" si="8"/>
        <v>28000</v>
      </c>
      <c r="J272" s="36">
        <f t="shared" si="9"/>
        <v>0</v>
      </c>
      <c r="K272" s="48" t="s">
        <v>83</v>
      </c>
      <c r="L272" s="48" t="s">
        <v>83</v>
      </c>
      <c r="M272" s="38">
        <v>42004</v>
      </c>
      <c r="N272" s="48"/>
      <c r="O272" s="35">
        <v>28000</v>
      </c>
      <c r="P272" s="35"/>
      <c r="Q272" s="35"/>
      <c r="R272" s="35"/>
      <c r="S272" s="41"/>
    </row>
    <row r="273" spans="1:19" s="15" customFormat="1" ht="26.25" customHeight="1" x14ac:dyDescent="0.2">
      <c r="A273" s="43" t="s">
        <v>973</v>
      </c>
      <c r="B273" s="46" t="s">
        <v>940</v>
      </c>
      <c r="C273" s="44" t="s">
        <v>978</v>
      </c>
      <c r="D273" s="47">
        <v>8297</v>
      </c>
      <c r="E273" s="46" t="s">
        <v>985</v>
      </c>
      <c r="F273" s="35">
        <v>56537</v>
      </c>
      <c r="G273" s="35">
        <v>56537</v>
      </c>
      <c r="H273" s="35">
        <v>0</v>
      </c>
      <c r="I273" s="35">
        <f t="shared" si="8"/>
        <v>56537</v>
      </c>
      <c r="J273" s="36">
        <f t="shared" si="9"/>
        <v>0</v>
      </c>
      <c r="K273" s="48" t="s">
        <v>83</v>
      </c>
      <c r="L273" s="48" t="s">
        <v>83</v>
      </c>
      <c r="M273" s="38">
        <v>42004</v>
      </c>
      <c r="N273" s="48"/>
      <c r="O273" s="35">
        <v>56537</v>
      </c>
      <c r="P273" s="35"/>
      <c r="Q273" s="35"/>
      <c r="R273" s="35"/>
      <c r="S273" s="41"/>
    </row>
    <row r="274" spans="1:19" s="15" customFormat="1" ht="38.25" customHeight="1" x14ac:dyDescent="0.2">
      <c r="A274" s="43" t="s">
        <v>974</v>
      </c>
      <c r="B274" s="46" t="s">
        <v>940</v>
      </c>
      <c r="C274" s="44" t="s">
        <v>979</v>
      </c>
      <c r="D274" s="47">
        <v>8329</v>
      </c>
      <c r="E274" s="46" t="s">
        <v>982</v>
      </c>
      <c r="F274" s="35">
        <v>99000</v>
      </c>
      <c r="G274" s="35">
        <v>99000</v>
      </c>
      <c r="H274" s="35">
        <v>0</v>
      </c>
      <c r="I274" s="35">
        <f t="shared" si="8"/>
        <v>99000</v>
      </c>
      <c r="J274" s="36">
        <f t="shared" si="9"/>
        <v>0</v>
      </c>
      <c r="K274" s="48" t="s">
        <v>83</v>
      </c>
      <c r="L274" s="48" t="s">
        <v>83</v>
      </c>
      <c r="M274" s="38">
        <v>42004</v>
      </c>
      <c r="N274" s="48"/>
      <c r="O274" s="35">
        <v>99000</v>
      </c>
      <c r="P274" s="35"/>
      <c r="Q274" s="35"/>
      <c r="R274" s="35"/>
      <c r="S274" s="41"/>
    </row>
    <row r="275" spans="1:19" s="15" customFormat="1" ht="26.25" customHeight="1" x14ac:dyDescent="0.2">
      <c r="A275" s="43" t="s">
        <v>975</v>
      </c>
      <c r="B275" s="46" t="s">
        <v>940</v>
      </c>
      <c r="C275" s="44" t="s">
        <v>980</v>
      </c>
      <c r="D275" s="47">
        <v>8331</v>
      </c>
      <c r="E275" s="46" t="s">
        <v>984</v>
      </c>
      <c r="F275" s="35">
        <v>99000</v>
      </c>
      <c r="G275" s="35">
        <v>99000</v>
      </c>
      <c r="H275" s="35">
        <v>0</v>
      </c>
      <c r="I275" s="35">
        <f t="shared" si="8"/>
        <v>99000</v>
      </c>
      <c r="J275" s="36">
        <f t="shared" si="9"/>
        <v>0</v>
      </c>
      <c r="K275" s="48" t="s">
        <v>83</v>
      </c>
      <c r="L275" s="48" t="s">
        <v>83</v>
      </c>
      <c r="M275" s="38">
        <v>42004</v>
      </c>
      <c r="N275" s="48"/>
      <c r="O275" s="35">
        <v>99000</v>
      </c>
      <c r="P275" s="35"/>
      <c r="Q275" s="35"/>
      <c r="R275" s="35"/>
      <c r="S275" s="41"/>
    </row>
    <row r="276" spans="1:19" s="15" customFormat="1" ht="26.25" customHeight="1" x14ac:dyDescent="0.2">
      <c r="A276" s="43" t="s">
        <v>988</v>
      </c>
      <c r="B276" s="46" t="s">
        <v>940</v>
      </c>
      <c r="C276" s="44" t="s">
        <v>992</v>
      </c>
      <c r="D276" s="47">
        <v>8325</v>
      </c>
      <c r="E276" s="46" t="s">
        <v>998</v>
      </c>
      <c r="F276" s="35">
        <v>31800</v>
      </c>
      <c r="G276" s="35">
        <v>31800</v>
      </c>
      <c r="H276" s="35">
        <v>0</v>
      </c>
      <c r="I276" s="35">
        <f t="shared" si="8"/>
        <v>31800</v>
      </c>
      <c r="J276" s="36">
        <f t="shared" si="9"/>
        <v>0</v>
      </c>
      <c r="K276" s="48" t="s">
        <v>83</v>
      </c>
      <c r="L276" s="48" t="s">
        <v>83</v>
      </c>
      <c r="M276" s="38">
        <v>42094</v>
      </c>
      <c r="N276" s="48"/>
      <c r="O276" s="35">
        <v>31800</v>
      </c>
      <c r="P276" s="35"/>
      <c r="Q276" s="35"/>
      <c r="R276" s="35"/>
      <c r="S276" s="41"/>
    </row>
    <row r="277" spans="1:19" s="15" customFormat="1" ht="18" customHeight="1" x14ac:dyDescent="0.2">
      <c r="A277" s="43" t="s">
        <v>1042</v>
      </c>
      <c r="B277" s="46" t="s">
        <v>940</v>
      </c>
      <c r="C277" s="44" t="s">
        <v>206</v>
      </c>
      <c r="D277" s="47">
        <v>8483</v>
      </c>
      <c r="E277" s="46" t="s">
        <v>1052</v>
      </c>
      <c r="F277" s="35">
        <v>40000</v>
      </c>
      <c r="G277" s="35">
        <v>40000</v>
      </c>
      <c r="H277" s="35">
        <v>0</v>
      </c>
      <c r="I277" s="35">
        <f t="shared" si="8"/>
        <v>40000</v>
      </c>
      <c r="J277" s="36">
        <f t="shared" si="9"/>
        <v>0</v>
      </c>
      <c r="K277" s="48" t="s">
        <v>83</v>
      </c>
      <c r="L277" s="48" t="s">
        <v>83</v>
      </c>
      <c r="M277" s="38">
        <v>42155</v>
      </c>
      <c r="N277" s="48"/>
      <c r="O277" s="35">
        <v>40000</v>
      </c>
      <c r="P277" s="35"/>
      <c r="Q277" s="35"/>
      <c r="R277" s="35"/>
      <c r="S277" s="41"/>
    </row>
    <row r="278" spans="1:19" s="15" customFormat="1" ht="26.25" customHeight="1" x14ac:dyDescent="0.2">
      <c r="A278" s="43" t="s">
        <v>1056</v>
      </c>
      <c r="B278" s="46" t="s">
        <v>940</v>
      </c>
      <c r="C278" s="44" t="s">
        <v>320</v>
      </c>
      <c r="D278" s="47">
        <v>8391</v>
      </c>
      <c r="E278" s="46" t="s">
        <v>330</v>
      </c>
      <c r="F278" s="35">
        <v>42075</v>
      </c>
      <c r="G278" s="35">
        <v>86640</v>
      </c>
      <c r="H278" s="35">
        <f>56715+42075</f>
        <v>98790</v>
      </c>
      <c r="I278" s="35">
        <f t="shared" si="8"/>
        <v>185430</v>
      </c>
      <c r="J278" s="36">
        <f t="shared" si="9"/>
        <v>1.1402354570637119</v>
      </c>
      <c r="K278" s="48" t="s">
        <v>83</v>
      </c>
      <c r="L278" s="48" t="s">
        <v>83</v>
      </c>
      <c r="M278" s="38">
        <v>41820</v>
      </c>
      <c r="N278" s="48" t="s">
        <v>86</v>
      </c>
      <c r="O278" s="35">
        <v>42075</v>
      </c>
      <c r="P278" s="35"/>
      <c r="Q278" s="35"/>
      <c r="R278" s="35"/>
      <c r="S278" s="41"/>
    </row>
    <row r="279" spans="1:19" s="15" customFormat="1" ht="26.25" customHeight="1" x14ac:dyDescent="0.2">
      <c r="A279" s="43" t="s">
        <v>1060</v>
      </c>
      <c r="B279" s="46" t="s">
        <v>940</v>
      </c>
      <c r="C279" s="44" t="s">
        <v>1068</v>
      </c>
      <c r="D279" s="47">
        <v>8447</v>
      </c>
      <c r="E279" s="46" t="s">
        <v>1076</v>
      </c>
      <c r="F279" s="35">
        <v>55000</v>
      </c>
      <c r="G279" s="35">
        <v>55000</v>
      </c>
      <c r="H279" s="35">
        <v>0</v>
      </c>
      <c r="I279" s="35">
        <f t="shared" si="8"/>
        <v>55000</v>
      </c>
      <c r="J279" s="36">
        <f t="shared" si="9"/>
        <v>0</v>
      </c>
      <c r="K279" s="48" t="s">
        <v>83</v>
      </c>
      <c r="L279" s="48" t="s">
        <v>83</v>
      </c>
      <c r="M279" s="38">
        <v>42004</v>
      </c>
      <c r="N279" s="48"/>
      <c r="O279" s="35">
        <v>55000</v>
      </c>
      <c r="P279" s="35"/>
      <c r="Q279" s="35"/>
      <c r="R279" s="35"/>
      <c r="S279" s="41"/>
    </row>
    <row r="280" spans="1:19" s="15" customFormat="1" ht="26.25" customHeight="1" x14ac:dyDescent="0.2">
      <c r="A280" s="43" t="s">
        <v>1079</v>
      </c>
      <c r="B280" s="46" t="s">
        <v>940</v>
      </c>
      <c r="C280" s="44" t="s">
        <v>161</v>
      </c>
      <c r="D280" s="47">
        <v>8517</v>
      </c>
      <c r="E280" s="46" t="s">
        <v>1082</v>
      </c>
      <c r="F280" s="35">
        <f>33089+35000+38000</f>
        <v>106089</v>
      </c>
      <c r="G280" s="35">
        <f>33089+35000+38000</f>
        <v>106089</v>
      </c>
      <c r="H280" s="35">
        <v>0</v>
      </c>
      <c r="I280" s="35">
        <f t="shared" si="8"/>
        <v>106089</v>
      </c>
      <c r="J280" s="36">
        <f t="shared" si="9"/>
        <v>0</v>
      </c>
      <c r="K280" s="48" t="s">
        <v>83</v>
      </c>
      <c r="L280" s="48" t="s">
        <v>83</v>
      </c>
      <c r="M280" s="38">
        <v>42134</v>
      </c>
      <c r="N280" s="48" t="s">
        <v>84</v>
      </c>
      <c r="O280" s="35">
        <v>33089</v>
      </c>
      <c r="P280" s="35">
        <v>35000</v>
      </c>
      <c r="Q280" s="35">
        <v>38000</v>
      </c>
      <c r="R280" s="35"/>
      <c r="S280" s="41"/>
    </row>
    <row r="281" spans="1:19" s="15" customFormat="1" ht="26.25" customHeight="1" x14ac:dyDescent="0.2">
      <c r="A281" s="43" t="s">
        <v>1080</v>
      </c>
      <c r="B281" s="46" t="s">
        <v>940</v>
      </c>
      <c r="C281" s="44" t="s">
        <v>820</v>
      </c>
      <c r="D281" s="47">
        <v>8565</v>
      </c>
      <c r="E281" s="46" t="s">
        <v>1081</v>
      </c>
      <c r="F281" s="35">
        <v>7280</v>
      </c>
      <c r="G281" s="35">
        <v>29730</v>
      </c>
      <c r="H281" s="35">
        <v>7280</v>
      </c>
      <c r="I281" s="35">
        <f t="shared" si="8"/>
        <v>37010</v>
      </c>
      <c r="J281" s="36">
        <f t="shared" si="9"/>
        <v>0.24487050117726203</v>
      </c>
      <c r="K281" s="48" t="s">
        <v>83</v>
      </c>
      <c r="L281" s="48" t="s">
        <v>83</v>
      </c>
      <c r="M281" s="38">
        <v>41820</v>
      </c>
      <c r="N281" s="48" t="s">
        <v>86</v>
      </c>
      <c r="O281" s="35">
        <v>7280</v>
      </c>
      <c r="P281" s="35"/>
      <c r="Q281" s="35"/>
      <c r="R281" s="35"/>
      <c r="S281" s="41"/>
    </row>
    <row r="282" spans="1:19" s="15" customFormat="1" ht="26.25" customHeight="1" x14ac:dyDescent="0.2">
      <c r="A282" s="43" t="s">
        <v>1083</v>
      </c>
      <c r="B282" s="46" t="s">
        <v>940</v>
      </c>
      <c r="C282" s="44" t="s">
        <v>1085</v>
      </c>
      <c r="D282" s="47">
        <v>8653</v>
      </c>
      <c r="E282" s="46" t="s">
        <v>1082</v>
      </c>
      <c r="F282" s="35">
        <f>15643+16200+16600</f>
        <v>48443</v>
      </c>
      <c r="G282" s="35">
        <f>15643+16200+16600</f>
        <v>48443</v>
      </c>
      <c r="H282" s="35">
        <v>0</v>
      </c>
      <c r="I282" s="35">
        <f t="shared" si="8"/>
        <v>48443</v>
      </c>
      <c r="J282" s="36">
        <f t="shared" si="9"/>
        <v>0</v>
      </c>
      <c r="K282" s="48" t="s">
        <v>83</v>
      </c>
      <c r="L282" s="48" t="s">
        <v>83</v>
      </c>
      <c r="M282" s="38">
        <v>42134</v>
      </c>
      <c r="N282" s="48" t="s">
        <v>84</v>
      </c>
      <c r="O282" s="35">
        <v>15643</v>
      </c>
      <c r="P282" s="35">
        <v>16200</v>
      </c>
      <c r="Q282" s="35">
        <v>16600</v>
      </c>
      <c r="R282" s="35"/>
      <c r="S282" s="41"/>
    </row>
    <row r="283" spans="1:19" s="15" customFormat="1" ht="26.25" customHeight="1" x14ac:dyDescent="0.2">
      <c r="A283" s="43" t="s">
        <v>1084</v>
      </c>
      <c r="B283" s="46" t="s">
        <v>940</v>
      </c>
      <c r="C283" s="44" t="s">
        <v>962</v>
      </c>
      <c r="D283" s="47" t="s">
        <v>1086</v>
      </c>
      <c r="E283" s="46" t="s">
        <v>1087</v>
      </c>
      <c r="F283" s="35">
        <v>21000</v>
      </c>
      <c r="G283" s="35">
        <v>28000</v>
      </c>
      <c r="H283" s="35">
        <v>21000</v>
      </c>
      <c r="I283" s="35">
        <f t="shared" si="8"/>
        <v>49000</v>
      </c>
      <c r="J283" s="36">
        <f t="shared" si="9"/>
        <v>0.75</v>
      </c>
      <c r="K283" s="48" t="s">
        <v>83</v>
      </c>
      <c r="L283" s="48" t="s">
        <v>83</v>
      </c>
      <c r="M283" s="38">
        <v>42004</v>
      </c>
      <c r="N283" s="48" t="s">
        <v>86</v>
      </c>
      <c r="O283" s="35">
        <v>21000</v>
      </c>
      <c r="P283" s="35"/>
      <c r="Q283" s="35"/>
      <c r="R283" s="35"/>
      <c r="S283" s="41"/>
    </row>
    <row r="284" spans="1:19" s="15" customFormat="1" ht="26.25" customHeight="1" x14ac:dyDescent="0.2">
      <c r="A284" s="43" t="s">
        <v>308</v>
      </c>
      <c r="B284" s="46" t="s">
        <v>315</v>
      </c>
      <c r="C284" s="44" t="s">
        <v>317</v>
      </c>
      <c r="D284" s="47" t="s">
        <v>323</v>
      </c>
      <c r="E284" s="46" t="s">
        <v>324</v>
      </c>
      <c r="F284" s="35">
        <v>99000</v>
      </c>
      <c r="G284" s="40">
        <v>50000</v>
      </c>
      <c r="H284" s="35">
        <f>49000+99000+188000+99000</f>
        <v>435000</v>
      </c>
      <c r="I284" s="35">
        <f t="shared" si="8"/>
        <v>485000</v>
      </c>
      <c r="J284" s="36">
        <f t="shared" si="9"/>
        <v>8.6999999999999993</v>
      </c>
      <c r="K284" s="48" t="s">
        <v>83</v>
      </c>
      <c r="L284" s="48" t="s">
        <v>83</v>
      </c>
      <c r="M284" s="52" t="s">
        <v>331</v>
      </c>
      <c r="N284" s="48" t="s">
        <v>86</v>
      </c>
      <c r="O284" s="35">
        <v>99000</v>
      </c>
      <c r="P284" s="35"/>
      <c r="Q284" s="35"/>
      <c r="R284" s="35"/>
      <c r="S284" s="41"/>
    </row>
    <row r="285" spans="1:19" s="15" customFormat="1" ht="26.25" customHeight="1" x14ac:dyDescent="0.2">
      <c r="A285" s="43" t="s">
        <v>403</v>
      </c>
      <c r="B285" s="46" t="s">
        <v>315</v>
      </c>
      <c r="C285" s="44" t="s">
        <v>408</v>
      </c>
      <c r="D285" s="34">
        <v>7091</v>
      </c>
      <c r="E285" s="46" t="s">
        <v>397</v>
      </c>
      <c r="F285" s="35">
        <v>45000</v>
      </c>
      <c r="G285" s="40">
        <v>45000</v>
      </c>
      <c r="H285" s="35">
        <v>0</v>
      </c>
      <c r="I285" s="35">
        <f t="shared" si="8"/>
        <v>45000</v>
      </c>
      <c r="J285" s="36">
        <f t="shared" si="9"/>
        <v>0</v>
      </c>
      <c r="K285" s="48" t="s">
        <v>83</v>
      </c>
      <c r="L285" s="48" t="s">
        <v>83</v>
      </c>
      <c r="M285" s="38">
        <v>42338</v>
      </c>
      <c r="N285" s="48"/>
      <c r="O285" s="35">
        <v>45000</v>
      </c>
      <c r="P285" s="35"/>
      <c r="Q285" s="35"/>
      <c r="R285" s="35"/>
      <c r="S285" s="41"/>
    </row>
    <row r="286" spans="1:19" s="15" customFormat="1" ht="26.25" customHeight="1" x14ac:dyDescent="0.2">
      <c r="A286" s="43" t="s">
        <v>445</v>
      </c>
      <c r="B286" s="46" t="s">
        <v>315</v>
      </c>
      <c r="C286" s="44" t="s">
        <v>447</v>
      </c>
      <c r="D286" s="34">
        <v>6459</v>
      </c>
      <c r="E286" s="46" t="s">
        <v>449</v>
      </c>
      <c r="F286" s="35">
        <v>99000</v>
      </c>
      <c r="G286" s="40">
        <v>95000</v>
      </c>
      <c r="H286" s="35">
        <f>95000+35000+15000+10000+10000+10000+40000+99000</f>
        <v>314000</v>
      </c>
      <c r="I286" s="35">
        <f t="shared" si="8"/>
        <v>409000</v>
      </c>
      <c r="J286" s="36">
        <f t="shared" si="9"/>
        <v>3.3052631578947369</v>
      </c>
      <c r="K286" s="48" t="s">
        <v>83</v>
      </c>
      <c r="L286" s="48" t="s">
        <v>83</v>
      </c>
      <c r="M286" s="52" t="s">
        <v>331</v>
      </c>
      <c r="N286" s="48" t="s">
        <v>86</v>
      </c>
      <c r="O286" s="35">
        <v>99000</v>
      </c>
      <c r="P286" s="35"/>
      <c r="Q286" s="35"/>
      <c r="R286" s="35"/>
      <c r="S286" s="41"/>
    </row>
    <row r="287" spans="1:19" s="15" customFormat="1" ht="26.25" customHeight="1" x14ac:dyDescent="0.2">
      <c r="A287" s="43" t="s">
        <v>456</v>
      </c>
      <c r="B287" s="46" t="s">
        <v>315</v>
      </c>
      <c r="C287" s="44" t="s">
        <v>467</v>
      </c>
      <c r="D287" s="47" t="s">
        <v>472</v>
      </c>
      <c r="E287" s="46" t="s">
        <v>461</v>
      </c>
      <c r="F287" s="35">
        <v>25000</v>
      </c>
      <c r="G287" s="40">
        <v>25000</v>
      </c>
      <c r="H287" s="35">
        <v>0</v>
      </c>
      <c r="I287" s="35">
        <f t="shared" si="8"/>
        <v>25000</v>
      </c>
      <c r="J287" s="36">
        <f t="shared" si="9"/>
        <v>0</v>
      </c>
      <c r="K287" s="48" t="s">
        <v>83</v>
      </c>
      <c r="L287" s="48" t="s">
        <v>83</v>
      </c>
      <c r="M287" s="38">
        <v>41522</v>
      </c>
      <c r="N287" s="48"/>
      <c r="O287" s="35">
        <v>25000</v>
      </c>
      <c r="P287" s="35"/>
      <c r="Q287" s="35"/>
      <c r="R287" s="35"/>
      <c r="S287" s="41"/>
    </row>
    <row r="288" spans="1:19" s="15" customFormat="1" ht="26.25" customHeight="1" x14ac:dyDescent="0.2">
      <c r="A288" s="43" t="s">
        <v>458</v>
      </c>
      <c r="B288" s="46" t="s">
        <v>315</v>
      </c>
      <c r="C288" s="44" t="s">
        <v>469</v>
      </c>
      <c r="D288" s="47" t="s">
        <v>473</v>
      </c>
      <c r="E288" s="46" t="s">
        <v>461</v>
      </c>
      <c r="F288" s="35">
        <v>25000</v>
      </c>
      <c r="G288" s="40">
        <v>5000</v>
      </c>
      <c r="H288" s="35">
        <f>30000+25000</f>
        <v>55000</v>
      </c>
      <c r="I288" s="35">
        <f t="shared" si="8"/>
        <v>60000</v>
      </c>
      <c r="J288" s="36">
        <f t="shared" si="9"/>
        <v>11</v>
      </c>
      <c r="K288" s="48" t="s">
        <v>83</v>
      </c>
      <c r="L288" s="48" t="s">
        <v>83</v>
      </c>
      <c r="M288" s="38">
        <v>41548</v>
      </c>
      <c r="N288" s="48" t="s">
        <v>86</v>
      </c>
      <c r="O288" s="35">
        <v>25000</v>
      </c>
      <c r="P288" s="35"/>
      <c r="Q288" s="35"/>
      <c r="R288" s="35"/>
      <c r="S288" s="41"/>
    </row>
    <row r="289" spans="1:19" s="15" customFormat="1" ht="18" customHeight="1" x14ac:dyDescent="0.2">
      <c r="A289" s="43" t="s">
        <v>489</v>
      </c>
      <c r="B289" s="46" t="s">
        <v>315</v>
      </c>
      <c r="C289" s="44" t="s">
        <v>519</v>
      </c>
      <c r="D289" s="47">
        <v>7073</v>
      </c>
      <c r="E289" s="46" t="s">
        <v>514</v>
      </c>
      <c r="F289" s="35">
        <v>6389</v>
      </c>
      <c r="G289" s="40">
        <v>6389</v>
      </c>
      <c r="H289" s="35">
        <v>0</v>
      </c>
      <c r="I289" s="35">
        <f t="shared" si="8"/>
        <v>6389</v>
      </c>
      <c r="J289" s="36">
        <f t="shared" si="9"/>
        <v>0</v>
      </c>
      <c r="K289" s="48" t="s">
        <v>83</v>
      </c>
      <c r="L289" s="48" t="s">
        <v>83</v>
      </c>
      <c r="M289" s="38">
        <v>41486</v>
      </c>
      <c r="N289" s="48"/>
      <c r="O289" s="35">
        <v>6389</v>
      </c>
      <c r="P289" s="35"/>
      <c r="Q289" s="35"/>
      <c r="R289" s="35"/>
      <c r="S289" s="41"/>
    </row>
    <row r="290" spans="1:19" s="15" customFormat="1" ht="26.25" customHeight="1" x14ac:dyDescent="0.2">
      <c r="A290" s="43" t="s">
        <v>499</v>
      </c>
      <c r="B290" s="46" t="s">
        <v>315</v>
      </c>
      <c r="C290" s="44" t="s">
        <v>525</v>
      </c>
      <c r="D290" s="34">
        <v>6711</v>
      </c>
      <c r="E290" s="46" t="s">
        <v>512</v>
      </c>
      <c r="F290" s="35">
        <v>25000</v>
      </c>
      <c r="G290" s="40">
        <v>4999</v>
      </c>
      <c r="H290" s="35">
        <f>10000+20000+25000</f>
        <v>55000</v>
      </c>
      <c r="I290" s="35">
        <f t="shared" si="8"/>
        <v>59999</v>
      </c>
      <c r="J290" s="36">
        <f t="shared" si="9"/>
        <v>11.002200440088018</v>
      </c>
      <c r="K290" s="48" t="s">
        <v>83</v>
      </c>
      <c r="L290" s="48" t="s">
        <v>83</v>
      </c>
      <c r="M290" s="52" t="s">
        <v>331</v>
      </c>
      <c r="N290" s="48" t="s">
        <v>86</v>
      </c>
      <c r="O290" s="35">
        <v>25000</v>
      </c>
      <c r="P290" s="35"/>
      <c r="Q290" s="35"/>
      <c r="R290" s="35"/>
      <c r="S290" s="41"/>
    </row>
    <row r="291" spans="1:19" s="15" customFormat="1" ht="26.25" customHeight="1" x14ac:dyDescent="0.2">
      <c r="A291" s="43" t="s">
        <v>605</v>
      </c>
      <c r="B291" s="46" t="s">
        <v>315</v>
      </c>
      <c r="C291" s="44" t="s">
        <v>611</v>
      </c>
      <c r="D291" s="47">
        <v>7449</v>
      </c>
      <c r="E291" s="46" t="s">
        <v>603</v>
      </c>
      <c r="F291" s="35">
        <v>99000</v>
      </c>
      <c r="G291" s="40">
        <v>99000</v>
      </c>
      <c r="H291" s="35">
        <v>0</v>
      </c>
      <c r="I291" s="35">
        <f t="shared" si="8"/>
        <v>99000</v>
      </c>
      <c r="J291" s="36">
        <f t="shared" si="9"/>
        <v>0</v>
      </c>
      <c r="K291" s="48" t="s">
        <v>83</v>
      </c>
      <c r="L291" s="48" t="s">
        <v>83</v>
      </c>
      <c r="M291" s="38">
        <v>42291</v>
      </c>
      <c r="N291" s="48"/>
      <c r="O291" s="35">
        <v>99000</v>
      </c>
      <c r="P291" s="35"/>
      <c r="Q291" s="35"/>
      <c r="R291" s="35"/>
      <c r="S291" s="41"/>
    </row>
    <row r="292" spans="1:19" s="15" customFormat="1" ht="26.25" customHeight="1" x14ac:dyDescent="0.2">
      <c r="A292" s="43" t="s">
        <v>609</v>
      </c>
      <c r="B292" s="46" t="s">
        <v>315</v>
      </c>
      <c r="C292" s="44" t="s">
        <v>613</v>
      </c>
      <c r="D292" s="47">
        <v>7600</v>
      </c>
      <c r="E292" s="46" t="s">
        <v>602</v>
      </c>
      <c r="F292" s="35">
        <v>65000</v>
      </c>
      <c r="G292" s="40">
        <v>5000</v>
      </c>
      <c r="H292" s="35">
        <f>374381+65000</f>
        <v>439381</v>
      </c>
      <c r="I292" s="35">
        <f t="shared" si="8"/>
        <v>444381</v>
      </c>
      <c r="J292" s="36">
        <f t="shared" si="9"/>
        <v>87.876199999999997</v>
      </c>
      <c r="K292" s="48" t="s">
        <v>83</v>
      </c>
      <c r="L292" s="48" t="s">
        <v>83</v>
      </c>
      <c r="M292" s="52" t="s">
        <v>331</v>
      </c>
      <c r="N292" s="48" t="s">
        <v>86</v>
      </c>
      <c r="O292" s="35">
        <v>65000</v>
      </c>
      <c r="P292" s="35"/>
      <c r="Q292" s="35"/>
      <c r="R292" s="35"/>
      <c r="S292" s="41"/>
    </row>
    <row r="293" spans="1:19" s="15" customFormat="1" ht="26.25" customHeight="1" x14ac:dyDescent="0.2">
      <c r="A293" s="43" t="s">
        <v>622</v>
      </c>
      <c r="B293" s="46" t="s">
        <v>315</v>
      </c>
      <c r="C293" s="44" t="s">
        <v>317</v>
      </c>
      <c r="D293" s="47" t="s">
        <v>639</v>
      </c>
      <c r="E293" s="46" t="s">
        <v>632</v>
      </c>
      <c r="F293" s="35">
        <v>40000</v>
      </c>
      <c r="G293" s="40">
        <v>5000</v>
      </c>
      <c r="H293" s="35">
        <f>50000+40000</f>
        <v>90000</v>
      </c>
      <c r="I293" s="35">
        <f t="shared" si="8"/>
        <v>95000</v>
      </c>
      <c r="J293" s="36">
        <f t="shared" si="9"/>
        <v>18</v>
      </c>
      <c r="K293" s="48" t="s">
        <v>83</v>
      </c>
      <c r="L293" s="48" t="s">
        <v>83</v>
      </c>
      <c r="M293" s="52">
        <v>41456</v>
      </c>
      <c r="N293" s="48" t="s">
        <v>86</v>
      </c>
      <c r="O293" s="35">
        <v>40000</v>
      </c>
      <c r="P293" s="35"/>
      <c r="Q293" s="35"/>
      <c r="R293" s="35"/>
      <c r="S293" s="41"/>
    </row>
    <row r="294" spans="1:19" s="15" customFormat="1" ht="26.25" customHeight="1" x14ac:dyDescent="0.2">
      <c r="A294" s="43" t="s">
        <v>725</v>
      </c>
      <c r="B294" s="46" t="s">
        <v>315</v>
      </c>
      <c r="C294" s="44" t="s">
        <v>736</v>
      </c>
      <c r="D294" s="47">
        <v>7886</v>
      </c>
      <c r="E294" s="46" t="s">
        <v>745</v>
      </c>
      <c r="F294" s="35">
        <v>15000</v>
      </c>
      <c r="G294" s="40">
        <v>15000</v>
      </c>
      <c r="H294" s="35">
        <v>0</v>
      </c>
      <c r="I294" s="35">
        <f t="shared" si="8"/>
        <v>15000</v>
      </c>
      <c r="J294" s="36">
        <f t="shared" si="9"/>
        <v>0</v>
      </c>
      <c r="K294" s="48" t="s">
        <v>83</v>
      </c>
      <c r="L294" s="48" t="s">
        <v>83</v>
      </c>
      <c r="M294" s="38">
        <v>41820</v>
      </c>
      <c r="N294" s="48"/>
      <c r="O294" s="35">
        <v>15000</v>
      </c>
      <c r="P294" s="35"/>
      <c r="Q294" s="35"/>
      <c r="R294" s="35"/>
      <c r="S294" s="41"/>
    </row>
    <row r="295" spans="1:19" s="15" customFormat="1" ht="26.25" customHeight="1" x14ac:dyDescent="0.2">
      <c r="A295" s="43" t="s">
        <v>770</v>
      </c>
      <c r="B295" s="46" t="s">
        <v>315</v>
      </c>
      <c r="C295" s="44" t="s">
        <v>774</v>
      </c>
      <c r="D295" s="47" t="s">
        <v>778</v>
      </c>
      <c r="E295" s="46" t="s">
        <v>780</v>
      </c>
      <c r="F295" s="35">
        <v>15000</v>
      </c>
      <c r="G295" s="40">
        <v>15000</v>
      </c>
      <c r="H295" s="35">
        <v>0</v>
      </c>
      <c r="I295" s="35">
        <f t="shared" si="8"/>
        <v>15000</v>
      </c>
      <c r="J295" s="36">
        <f t="shared" si="9"/>
        <v>0</v>
      </c>
      <c r="K295" s="48" t="s">
        <v>83</v>
      </c>
      <c r="L295" s="48" t="s">
        <v>83</v>
      </c>
      <c r="M295" s="38">
        <v>41820</v>
      </c>
      <c r="N295" s="48"/>
      <c r="O295" s="35">
        <v>15000</v>
      </c>
      <c r="P295" s="35"/>
      <c r="Q295" s="35"/>
      <c r="R295" s="35"/>
      <c r="S295" s="41"/>
    </row>
    <row r="296" spans="1:19" s="15" customFormat="1" ht="26.25" customHeight="1" x14ac:dyDescent="0.2">
      <c r="A296" s="43" t="s">
        <v>812</v>
      </c>
      <c r="B296" s="46" t="s">
        <v>315</v>
      </c>
      <c r="C296" s="44" t="s">
        <v>818</v>
      </c>
      <c r="D296" s="47" t="s">
        <v>822</v>
      </c>
      <c r="E296" s="46" t="s">
        <v>823</v>
      </c>
      <c r="F296" s="35">
        <v>15000</v>
      </c>
      <c r="G296" s="40">
        <v>15000</v>
      </c>
      <c r="H296" s="35">
        <v>0</v>
      </c>
      <c r="I296" s="35">
        <f t="shared" si="8"/>
        <v>15000</v>
      </c>
      <c r="J296" s="36">
        <f t="shared" si="9"/>
        <v>0</v>
      </c>
      <c r="K296" s="48" t="s">
        <v>83</v>
      </c>
      <c r="L296" s="48" t="s">
        <v>83</v>
      </c>
      <c r="M296" s="38">
        <v>42185</v>
      </c>
      <c r="N296" s="48"/>
      <c r="O296" s="35">
        <v>15000</v>
      </c>
      <c r="P296" s="35"/>
      <c r="Q296" s="35"/>
      <c r="R296" s="35"/>
      <c r="S296" s="41"/>
    </row>
    <row r="297" spans="1:19" s="15" customFormat="1" ht="26.25" customHeight="1" x14ac:dyDescent="0.2">
      <c r="A297" s="43" t="s">
        <v>868</v>
      </c>
      <c r="B297" s="46" t="s">
        <v>315</v>
      </c>
      <c r="C297" s="44" t="s">
        <v>878</v>
      </c>
      <c r="D297" s="47" t="s">
        <v>881</v>
      </c>
      <c r="E297" s="46" t="s">
        <v>874</v>
      </c>
      <c r="F297" s="35">
        <v>50000</v>
      </c>
      <c r="G297" s="35">
        <v>10000</v>
      </c>
      <c r="H297" s="35">
        <f>10000+50000</f>
        <v>60000</v>
      </c>
      <c r="I297" s="35">
        <f t="shared" si="8"/>
        <v>70000</v>
      </c>
      <c r="J297" s="36">
        <f t="shared" si="9"/>
        <v>6</v>
      </c>
      <c r="K297" s="48" t="s">
        <v>83</v>
      </c>
      <c r="L297" s="48" t="s">
        <v>83</v>
      </c>
      <c r="M297" s="52" t="s">
        <v>331</v>
      </c>
      <c r="N297" s="48" t="s">
        <v>86</v>
      </c>
      <c r="O297" s="35">
        <v>50000</v>
      </c>
      <c r="P297" s="35"/>
      <c r="Q297" s="35"/>
      <c r="R297" s="35"/>
      <c r="S297" s="41"/>
    </row>
    <row r="298" spans="1:19" s="15" customFormat="1" ht="26.25" customHeight="1" x14ac:dyDescent="0.2">
      <c r="A298" s="43" t="s">
        <v>869</v>
      </c>
      <c r="B298" s="46" t="s">
        <v>315</v>
      </c>
      <c r="C298" s="44" t="s">
        <v>613</v>
      </c>
      <c r="D298" s="47" t="s">
        <v>882</v>
      </c>
      <c r="E298" s="46" t="s">
        <v>602</v>
      </c>
      <c r="F298" s="35">
        <v>25000</v>
      </c>
      <c r="G298" s="35">
        <v>5000</v>
      </c>
      <c r="H298" s="35">
        <f>374381+65000+25000</f>
        <v>464381</v>
      </c>
      <c r="I298" s="35">
        <f t="shared" si="8"/>
        <v>469381</v>
      </c>
      <c r="J298" s="36">
        <f t="shared" si="9"/>
        <v>92.876199999999997</v>
      </c>
      <c r="K298" s="48" t="s">
        <v>83</v>
      </c>
      <c r="L298" s="48" t="s">
        <v>83</v>
      </c>
      <c r="M298" s="52" t="s">
        <v>331</v>
      </c>
      <c r="N298" s="48" t="s">
        <v>86</v>
      </c>
      <c r="O298" s="35">
        <v>25000</v>
      </c>
      <c r="P298" s="35"/>
      <c r="Q298" s="35"/>
      <c r="R298" s="35"/>
      <c r="S298" s="41"/>
    </row>
    <row r="299" spans="1:19" s="15" customFormat="1" ht="26.25" customHeight="1" x14ac:dyDescent="0.2">
      <c r="A299" s="43" t="s">
        <v>815</v>
      </c>
      <c r="B299" s="46" t="s">
        <v>816</v>
      </c>
      <c r="C299" s="44" t="s">
        <v>821</v>
      </c>
      <c r="D299" s="47">
        <v>8057</v>
      </c>
      <c r="E299" s="46" t="s">
        <v>826</v>
      </c>
      <c r="F299" s="35">
        <v>11900</v>
      </c>
      <c r="G299" s="40">
        <v>11900</v>
      </c>
      <c r="H299" s="35">
        <v>0</v>
      </c>
      <c r="I299" s="35">
        <f t="shared" si="8"/>
        <v>11900</v>
      </c>
      <c r="J299" s="36">
        <f t="shared" si="9"/>
        <v>0</v>
      </c>
      <c r="K299" s="48" t="s">
        <v>83</v>
      </c>
      <c r="L299" s="48" t="s">
        <v>83</v>
      </c>
      <c r="M299" s="38">
        <v>41727</v>
      </c>
      <c r="N299" s="48"/>
      <c r="O299" s="35">
        <v>11900</v>
      </c>
      <c r="P299" s="35"/>
      <c r="Q299" s="35"/>
      <c r="R299" s="35"/>
      <c r="S299" s="41"/>
    </row>
    <row r="300" spans="1:19" s="15" customFormat="1" ht="26.25" customHeight="1" x14ac:dyDescent="0.2">
      <c r="A300" s="43" t="s">
        <v>1021</v>
      </c>
      <c r="B300" s="46" t="s">
        <v>1024</v>
      </c>
      <c r="C300" s="44" t="s">
        <v>1027</v>
      </c>
      <c r="D300" s="47">
        <v>8457</v>
      </c>
      <c r="E300" s="46" t="s">
        <v>1035</v>
      </c>
      <c r="F300" s="35">
        <v>24000</v>
      </c>
      <c r="G300" s="35">
        <v>24000</v>
      </c>
      <c r="H300" s="35">
        <v>0</v>
      </c>
      <c r="I300" s="35">
        <f t="shared" si="8"/>
        <v>24000</v>
      </c>
      <c r="J300" s="36">
        <f t="shared" si="9"/>
        <v>0</v>
      </c>
      <c r="K300" s="48" t="s">
        <v>83</v>
      </c>
      <c r="L300" s="48" t="s">
        <v>85</v>
      </c>
      <c r="M300" s="38">
        <v>42155</v>
      </c>
      <c r="N300" s="48"/>
      <c r="O300" s="35">
        <v>24000</v>
      </c>
      <c r="P300" s="35"/>
      <c r="Q300" s="35"/>
      <c r="R300" s="35"/>
      <c r="S300" s="41"/>
    </row>
    <row r="301" spans="1:19" s="15" customFormat="1" ht="26.25" customHeight="1" x14ac:dyDescent="0.2">
      <c r="A301" s="43" t="s">
        <v>30</v>
      </c>
      <c r="B301" s="46" t="s">
        <v>45</v>
      </c>
      <c r="C301" s="44" t="s">
        <v>60</v>
      </c>
      <c r="D301" s="47">
        <v>6513</v>
      </c>
      <c r="E301" s="46" t="s">
        <v>78</v>
      </c>
      <c r="F301" s="35">
        <v>39000</v>
      </c>
      <c r="G301" s="40">
        <v>46800</v>
      </c>
      <c r="H301" s="35">
        <v>39000</v>
      </c>
      <c r="I301" s="49">
        <f t="shared" si="8"/>
        <v>85800</v>
      </c>
      <c r="J301" s="51">
        <f t="shared" si="9"/>
        <v>0.83333333333333337</v>
      </c>
      <c r="K301" s="48" t="s">
        <v>83</v>
      </c>
      <c r="L301" s="48" t="s">
        <v>83</v>
      </c>
      <c r="M301" s="38">
        <v>41638</v>
      </c>
      <c r="N301" s="48" t="s">
        <v>86</v>
      </c>
      <c r="O301" s="41">
        <v>39000</v>
      </c>
      <c r="P301" s="41"/>
      <c r="Q301" s="41"/>
      <c r="R301" s="41"/>
      <c r="S301" s="41"/>
    </row>
    <row r="302" spans="1:19" s="15" customFormat="1" ht="26.25" customHeight="1" x14ac:dyDescent="0.2">
      <c r="A302" s="43" t="s">
        <v>31</v>
      </c>
      <c r="B302" s="46" t="s">
        <v>45</v>
      </c>
      <c r="C302" s="44" t="s">
        <v>61</v>
      </c>
      <c r="D302" s="47">
        <v>6518</v>
      </c>
      <c r="E302" s="46" t="s">
        <v>79</v>
      </c>
      <c r="F302" s="35">
        <v>49980</v>
      </c>
      <c r="G302" s="40">
        <v>49980</v>
      </c>
      <c r="H302" s="35">
        <v>49980</v>
      </c>
      <c r="I302" s="49">
        <f t="shared" si="8"/>
        <v>99960</v>
      </c>
      <c r="J302" s="51">
        <f t="shared" si="9"/>
        <v>1</v>
      </c>
      <c r="K302" s="48" t="s">
        <v>83</v>
      </c>
      <c r="L302" s="48" t="s">
        <v>83</v>
      </c>
      <c r="M302" s="38">
        <v>41820</v>
      </c>
      <c r="N302" s="48" t="s">
        <v>86</v>
      </c>
      <c r="O302" s="41">
        <v>49980</v>
      </c>
      <c r="P302" s="41"/>
      <c r="Q302" s="41"/>
      <c r="R302" s="41"/>
      <c r="S302" s="41"/>
    </row>
    <row r="303" spans="1:19" s="15" customFormat="1" ht="26.25" customHeight="1" x14ac:dyDescent="0.2">
      <c r="A303" s="43" t="s">
        <v>476</v>
      </c>
      <c r="B303" s="46" t="s">
        <v>45</v>
      </c>
      <c r="C303" s="44" t="s">
        <v>481</v>
      </c>
      <c r="D303" s="47">
        <v>7359</v>
      </c>
      <c r="E303" s="46" t="s">
        <v>485</v>
      </c>
      <c r="F303" s="35">
        <v>99000</v>
      </c>
      <c r="G303" s="40">
        <v>99000</v>
      </c>
      <c r="H303" s="35">
        <v>0</v>
      </c>
      <c r="I303" s="35">
        <f t="shared" si="8"/>
        <v>99000</v>
      </c>
      <c r="J303" s="36">
        <f t="shared" si="9"/>
        <v>0</v>
      </c>
      <c r="K303" s="48" t="s">
        <v>83</v>
      </c>
      <c r="L303" s="48" t="s">
        <v>83</v>
      </c>
      <c r="M303" s="38">
        <v>41820</v>
      </c>
      <c r="N303" s="48"/>
      <c r="O303" s="35">
        <v>99000</v>
      </c>
      <c r="P303" s="35"/>
      <c r="Q303" s="35"/>
      <c r="R303" s="35"/>
      <c r="S303" s="41"/>
    </row>
    <row r="304" spans="1:19" s="15" customFormat="1" ht="38.25" customHeight="1" x14ac:dyDescent="0.2">
      <c r="A304" s="43" t="s">
        <v>478</v>
      </c>
      <c r="B304" s="46" t="s">
        <v>45</v>
      </c>
      <c r="C304" s="44" t="s">
        <v>483</v>
      </c>
      <c r="D304" s="47" t="s">
        <v>65</v>
      </c>
      <c r="E304" s="46" t="s">
        <v>487</v>
      </c>
      <c r="F304" s="35">
        <v>95000</v>
      </c>
      <c r="G304" s="40">
        <v>95000</v>
      </c>
      <c r="H304" s="35">
        <v>0</v>
      </c>
      <c r="I304" s="35">
        <f t="shared" si="8"/>
        <v>95000</v>
      </c>
      <c r="J304" s="36">
        <f t="shared" si="9"/>
        <v>0</v>
      </c>
      <c r="K304" s="48" t="s">
        <v>83</v>
      </c>
      <c r="L304" s="48" t="s">
        <v>83</v>
      </c>
      <c r="M304" s="38">
        <v>41943</v>
      </c>
      <c r="N304" s="48"/>
      <c r="O304" s="35">
        <v>95000</v>
      </c>
      <c r="P304" s="35"/>
      <c r="Q304" s="35"/>
      <c r="R304" s="35"/>
      <c r="S304" s="41"/>
    </row>
    <row r="305" spans="1:19" s="15" customFormat="1" ht="26.25" customHeight="1" x14ac:dyDescent="0.2">
      <c r="A305" s="43" t="s">
        <v>544</v>
      </c>
      <c r="B305" s="46" t="s">
        <v>557</v>
      </c>
      <c r="C305" s="44" t="s">
        <v>560</v>
      </c>
      <c r="D305" s="47">
        <v>7465</v>
      </c>
      <c r="E305" s="46" t="s">
        <v>571</v>
      </c>
      <c r="F305" s="35">
        <f>36800*3</f>
        <v>110400</v>
      </c>
      <c r="G305" s="40">
        <f>36800*3</f>
        <v>110400</v>
      </c>
      <c r="H305" s="35">
        <v>0</v>
      </c>
      <c r="I305" s="35">
        <f t="shared" si="8"/>
        <v>110400</v>
      </c>
      <c r="J305" s="36">
        <f t="shared" si="9"/>
        <v>0</v>
      </c>
      <c r="K305" s="48" t="s">
        <v>85</v>
      </c>
      <c r="L305" s="48" t="s">
        <v>83</v>
      </c>
      <c r="M305" s="38">
        <v>41820</v>
      </c>
      <c r="N305" s="48" t="s">
        <v>84</v>
      </c>
      <c r="O305" s="35">
        <v>36800</v>
      </c>
      <c r="P305" s="35">
        <v>36800</v>
      </c>
      <c r="Q305" s="35">
        <v>36800</v>
      </c>
      <c r="R305" s="35"/>
      <c r="S305" s="41"/>
    </row>
    <row r="306" spans="1:19" s="15" customFormat="1" ht="26.25" customHeight="1" x14ac:dyDescent="0.2">
      <c r="A306" s="43" t="s">
        <v>754</v>
      </c>
      <c r="B306" s="46" t="s">
        <v>557</v>
      </c>
      <c r="C306" s="44" t="s">
        <v>759</v>
      </c>
      <c r="D306" s="47">
        <v>7854</v>
      </c>
      <c r="E306" s="46" t="s">
        <v>767</v>
      </c>
      <c r="F306" s="35">
        <f>82000*3</f>
        <v>246000</v>
      </c>
      <c r="G306" s="40">
        <f>82000*3</f>
        <v>246000</v>
      </c>
      <c r="H306" s="35">
        <v>0</v>
      </c>
      <c r="I306" s="35">
        <f t="shared" si="8"/>
        <v>246000</v>
      </c>
      <c r="J306" s="36">
        <f t="shared" si="9"/>
        <v>0</v>
      </c>
      <c r="K306" s="48" t="s">
        <v>83</v>
      </c>
      <c r="L306" s="48" t="s">
        <v>83</v>
      </c>
      <c r="M306" s="38">
        <v>42035</v>
      </c>
      <c r="N306" s="48" t="s">
        <v>84</v>
      </c>
      <c r="O306" s="35">
        <v>82000</v>
      </c>
      <c r="P306" s="35">
        <v>82000</v>
      </c>
      <c r="Q306" s="35">
        <v>82000</v>
      </c>
      <c r="R306" s="35"/>
      <c r="S306" s="41"/>
    </row>
    <row r="307" spans="1:19" s="15" customFormat="1" ht="38.25" customHeight="1" x14ac:dyDescent="0.2">
      <c r="A307" s="43" t="s">
        <v>838</v>
      </c>
      <c r="B307" s="46" t="s">
        <v>557</v>
      </c>
      <c r="C307" s="44" t="s">
        <v>847</v>
      </c>
      <c r="D307" s="47">
        <v>8084</v>
      </c>
      <c r="E307" s="46" t="s">
        <v>857</v>
      </c>
      <c r="F307" s="35">
        <f>48750*3</f>
        <v>146250</v>
      </c>
      <c r="G307" s="40">
        <f>48750*3</f>
        <v>146250</v>
      </c>
      <c r="H307" s="35">
        <v>0</v>
      </c>
      <c r="I307" s="35">
        <f t="shared" si="8"/>
        <v>146250</v>
      </c>
      <c r="J307" s="36">
        <f t="shared" si="9"/>
        <v>0</v>
      </c>
      <c r="K307" s="48" t="s">
        <v>83</v>
      </c>
      <c r="L307" s="48" t="s">
        <v>83</v>
      </c>
      <c r="M307" s="38">
        <v>42094</v>
      </c>
      <c r="N307" s="48" t="s">
        <v>84</v>
      </c>
      <c r="O307" s="35">
        <v>48750</v>
      </c>
      <c r="P307" s="35">
        <v>48750</v>
      </c>
      <c r="Q307" s="35">
        <v>48750</v>
      </c>
      <c r="R307" s="35"/>
      <c r="S307" s="41"/>
    </row>
    <row r="308" spans="1:19" s="15" customFormat="1" ht="38.25" customHeight="1" x14ac:dyDescent="0.2">
      <c r="A308" s="43" t="s">
        <v>950</v>
      </c>
      <c r="B308" s="46" t="s">
        <v>557</v>
      </c>
      <c r="C308" s="44" t="s">
        <v>951</v>
      </c>
      <c r="D308" s="47">
        <v>8290</v>
      </c>
      <c r="E308" s="46" t="s">
        <v>1089</v>
      </c>
      <c r="F308" s="35">
        <v>95000</v>
      </c>
      <c r="G308" s="35">
        <v>95000</v>
      </c>
      <c r="H308" s="35">
        <v>0</v>
      </c>
      <c r="I308" s="35">
        <f t="shared" si="8"/>
        <v>95000</v>
      </c>
      <c r="J308" s="36">
        <f t="shared" si="9"/>
        <v>0</v>
      </c>
      <c r="K308" s="48" t="s">
        <v>83</v>
      </c>
      <c r="L308" s="48" t="s">
        <v>83</v>
      </c>
      <c r="M308" s="38">
        <v>41912</v>
      </c>
      <c r="N308" s="48"/>
      <c r="O308" s="35">
        <v>95000</v>
      </c>
      <c r="P308" s="35"/>
      <c r="Q308" s="35"/>
      <c r="R308" s="35"/>
      <c r="S308" s="41"/>
    </row>
    <row r="309" spans="1:19" s="15" customFormat="1" ht="26.25" customHeight="1" x14ac:dyDescent="0.2">
      <c r="A309" s="43" t="s">
        <v>953</v>
      </c>
      <c r="B309" s="46" t="s">
        <v>557</v>
      </c>
      <c r="C309" s="44" t="s">
        <v>958</v>
      </c>
      <c r="D309" s="47">
        <v>8254</v>
      </c>
      <c r="E309" s="46" t="s">
        <v>966</v>
      </c>
      <c r="F309" s="35">
        <v>45000</v>
      </c>
      <c r="G309" s="35">
        <v>45000</v>
      </c>
      <c r="H309" s="35">
        <v>0</v>
      </c>
      <c r="I309" s="35">
        <f t="shared" si="8"/>
        <v>45000</v>
      </c>
      <c r="J309" s="36">
        <f t="shared" si="9"/>
        <v>0</v>
      </c>
      <c r="K309" s="48" t="s">
        <v>83</v>
      </c>
      <c r="L309" s="48" t="s">
        <v>83</v>
      </c>
      <c r="M309" s="38">
        <v>42215</v>
      </c>
      <c r="N309" s="48"/>
      <c r="O309" s="35">
        <v>45000</v>
      </c>
      <c r="P309" s="35"/>
      <c r="Q309" s="35"/>
      <c r="R309" s="35"/>
      <c r="S309" s="41"/>
    </row>
    <row r="310" spans="1:19" s="15" customFormat="1" ht="26.25" customHeight="1" x14ac:dyDescent="0.2">
      <c r="A310" s="43" t="s">
        <v>1005</v>
      </c>
      <c r="B310" s="46" t="s">
        <v>557</v>
      </c>
      <c r="C310" s="44" t="s">
        <v>1010</v>
      </c>
      <c r="D310" s="47" t="s">
        <v>65</v>
      </c>
      <c r="E310" s="58" t="s">
        <v>1015</v>
      </c>
      <c r="F310" s="35">
        <v>38640</v>
      </c>
      <c r="G310" s="35">
        <v>38640</v>
      </c>
      <c r="H310" s="35">
        <v>0</v>
      </c>
      <c r="I310" s="35">
        <f t="shared" si="8"/>
        <v>38640</v>
      </c>
      <c r="J310" s="36">
        <f t="shared" si="9"/>
        <v>0</v>
      </c>
      <c r="K310" s="48" t="s">
        <v>83</v>
      </c>
      <c r="L310" s="48" t="s">
        <v>85</v>
      </c>
      <c r="M310" s="38">
        <v>41831</v>
      </c>
      <c r="N310" s="48"/>
      <c r="O310" s="35">
        <v>38640</v>
      </c>
      <c r="P310" s="35"/>
      <c r="Q310" s="35"/>
      <c r="R310" s="35"/>
      <c r="S310" s="41"/>
    </row>
    <row r="311" spans="1:19" s="15" customFormat="1" ht="26.25" customHeight="1" x14ac:dyDescent="0.2">
      <c r="A311" s="43" t="s">
        <v>92</v>
      </c>
      <c r="B311" s="46" t="s">
        <v>95</v>
      </c>
      <c r="C311" s="44" t="s">
        <v>100</v>
      </c>
      <c r="D311" s="47" t="s">
        <v>107</v>
      </c>
      <c r="E311" s="46" t="s">
        <v>113</v>
      </c>
      <c r="F311" s="49">
        <v>27789</v>
      </c>
      <c r="G311" s="50">
        <v>24043</v>
      </c>
      <c r="H311" s="49">
        <v>27789</v>
      </c>
      <c r="I311" s="49">
        <f t="shared" si="8"/>
        <v>51832</v>
      </c>
      <c r="J311" s="51">
        <f t="shared" si="9"/>
        <v>1.1558041841700286</v>
      </c>
      <c r="K311" s="48" t="s">
        <v>83</v>
      </c>
      <c r="L311" s="48" t="s">
        <v>83</v>
      </c>
      <c r="M311" s="52">
        <v>42694</v>
      </c>
      <c r="N311" s="48" t="s">
        <v>86</v>
      </c>
      <c r="O311" s="41">
        <v>27789</v>
      </c>
      <c r="P311" s="41"/>
      <c r="Q311" s="41"/>
      <c r="R311" s="41"/>
      <c r="S311" s="41"/>
    </row>
    <row r="312" spans="1:19" s="15" customFormat="1" ht="38.25" customHeight="1" x14ac:dyDescent="0.2">
      <c r="A312" s="43" t="s">
        <v>683</v>
      </c>
      <c r="B312" s="46" t="s">
        <v>688</v>
      </c>
      <c r="C312" s="44" t="s">
        <v>709</v>
      </c>
      <c r="D312" s="47">
        <v>7804</v>
      </c>
      <c r="E312" s="46" t="s">
        <v>701</v>
      </c>
      <c r="F312" s="35">
        <v>43750</v>
      </c>
      <c r="G312" s="40">
        <v>43750</v>
      </c>
      <c r="H312" s="35">
        <v>0</v>
      </c>
      <c r="I312" s="35">
        <f t="shared" si="8"/>
        <v>43750</v>
      </c>
      <c r="J312" s="36">
        <f t="shared" si="9"/>
        <v>0</v>
      </c>
      <c r="K312" s="48" t="s">
        <v>83</v>
      </c>
      <c r="L312" s="48" t="s">
        <v>83</v>
      </c>
      <c r="M312" s="38">
        <v>41820</v>
      </c>
      <c r="N312" s="48"/>
      <c r="O312" s="35">
        <v>43750</v>
      </c>
      <c r="P312" s="35"/>
      <c r="Q312" s="35"/>
      <c r="R312" s="35"/>
      <c r="S312" s="41"/>
    </row>
    <row r="313" spans="1:19" s="15" customFormat="1" ht="38.25" customHeight="1" x14ac:dyDescent="0.2">
      <c r="A313" s="43" t="s">
        <v>19</v>
      </c>
      <c r="B313" s="46" t="s">
        <v>37</v>
      </c>
      <c r="C313" s="44" t="s">
        <v>50</v>
      </c>
      <c r="D313" s="39">
        <v>6270</v>
      </c>
      <c r="E313" s="46" t="s">
        <v>68</v>
      </c>
      <c r="F313" s="35">
        <f>25000*3</f>
        <v>75000</v>
      </c>
      <c r="G313" s="40">
        <f>25000*3</f>
        <v>75000</v>
      </c>
      <c r="H313" s="35">
        <v>0</v>
      </c>
      <c r="I313" s="49">
        <f t="shared" si="8"/>
        <v>75000</v>
      </c>
      <c r="J313" s="51">
        <f t="shared" si="9"/>
        <v>0</v>
      </c>
      <c r="K313" s="48" t="s">
        <v>83</v>
      </c>
      <c r="L313" s="48" t="s">
        <v>83</v>
      </c>
      <c r="M313" s="38">
        <v>41820</v>
      </c>
      <c r="N313" s="48" t="s">
        <v>84</v>
      </c>
      <c r="O313" s="41">
        <v>25000</v>
      </c>
      <c r="P313" s="41">
        <v>25000</v>
      </c>
      <c r="Q313" s="41">
        <v>25000</v>
      </c>
      <c r="R313" s="41"/>
      <c r="S313" s="41"/>
    </row>
    <row r="314" spans="1:19" s="15" customFormat="1" ht="26.25" customHeight="1" x14ac:dyDescent="0.2">
      <c r="A314" s="43" t="s">
        <v>91</v>
      </c>
      <c r="B314" s="46" t="s">
        <v>37</v>
      </c>
      <c r="C314" s="44" t="s">
        <v>50</v>
      </c>
      <c r="D314" s="47" t="s">
        <v>106</v>
      </c>
      <c r="E314" s="46" t="s">
        <v>112</v>
      </c>
      <c r="F314" s="49">
        <v>16640</v>
      </c>
      <c r="G314" s="50">
        <v>18000</v>
      </c>
      <c r="H314" s="49">
        <v>16640</v>
      </c>
      <c r="I314" s="49">
        <f t="shared" si="8"/>
        <v>34640</v>
      </c>
      <c r="J314" s="51">
        <f t="shared" si="9"/>
        <v>0.9244444444444444</v>
      </c>
      <c r="K314" s="48" t="s">
        <v>83</v>
      </c>
      <c r="L314" s="48" t="s">
        <v>83</v>
      </c>
      <c r="M314" s="52">
        <v>41455</v>
      </c>
      <c r="N314" s="48" t="s">
        <v>86</v>
      </c>
      <c r="O314" s="41">
        <v>16640</v>
      </c>
      <c r="P314" s="41"/>
      <c r="Q314" s="41"/>
      <c r="R314" s="41"/>
      <c r="S314" s="41"/>
    </row>
    <row r="315" spans="1:19" s="15" customFormat="1" ht="26.25" customHeight="1" x14ac:dyDescent="0.2">
      <c r="A315" s="43" t="s">
        <v>115</v>
      </c>
      <c r="B315" s="46" t="s">
        <v>37</v>
      </c>
      <c r="C315" s="44" t="s">
        <v>126</v>
      </c>
      <c r="D315" s="47">
        <v>6271</v>
      </c>
      <c r="E315" s="46" t="s">
        <v>135</v>
      </c>
      <c r="F315" s="49">
        <v>99860</v>
      </c>
      <c r="G315" s="50">
        <v>99860</v>
      </c>
      <c r="H315" s="49">
        <v>0</v>
      </c>
      <c r="I315" s="49">
        <f t="shared" si="8"/>
        <v>99860</v>
      </c>
      <c r="J315" s="51">
        <f t="shared" si="9"/>
        <v>0</v>
      </c>
      <c r="K315" s="48" t="s">
        <v>83</v>
      </c>
      <c r="L315" s="48" t="s">
        <v>83</v>
      </c>
      <c r="M315" s="52">
        <v>41820</v>
      </c>
      <c r="N315" s="48"/>
      <c r="O315" s="41">
        <v>99860</v>
      </c>
      <c r="P315" s="41"/>
      <c r="Q315" s="41"/>
      <c r="R315" s="41"/>
      <c r="S315" s="41"/>
    </row>
    <row r="316" spans="1:19" s="15" customFormat="1" ht="26.25" customHeight="1" x14ac:dyDescent="0.2">
      <c r="A316" s="43" t="s">
        <v>268</v>
      </c>
      <c r="B316" s="46" t="s">
        <v>37</v>
      </c>
      <c r="C316" s="44" t="s">
        <v>282</v>
      </c>
      <c r="D316" s="47" t="s">
        <v>291</v>
      </c>
      <c r="E316" s="46" t="s">
        <v>297</v>
      </c>
      <c r="F316" s="35">
        <v>11400</v>
      </c>
      <c r="G316" s="40">
        <v>45000</v>
      </c>
      <c r="H316" s="35">
        <v>11400</v>
      </c>
      <c r="I316" s="35">
        <f t="shared" si="8"/>
        <v>56400</v>
      </c>
      <c r="J316" s="36">
        <f t="shared" si="9"/>
        <v>0.25333333333333335</v>
      </c>
      <c r="K316" s="48" t="s">
        <v>83</v>
      </c>
      <c r="L316" s="48" t="s">
        <v>83</v>
      </c>
      <c r="M316" s="52">
        <v>41547</v>
      </c>
      <c r="N316" s="48" t="s">
        <v>86</v>
      </c>
      <c r="O316" s="35">
        <v>11400</v>
      </c>
      <c r="P316" s="35"/>
      <c r="Q316" s="35"/>
      <c r="R316" s="35"/>
      <c r="S316" s="41"/>
    </row>
    <row r="317" spans="1:19" s="15" customFormat="1" ht="26.25" customHeight="1" x14ac:dyDescent="0.2">
      <c r="A317" s="43" t="s">
        <v>269</v>
      </c>
      <c r="B317" s="46" t="s">
        <v>37</v>
      </c>
      <c r="C317" s="44" t="s">
        <v>283</v>
      </c>
      <c r="D317" s="47" t="s">
        <v>292</v>
      </c>
      <c r="E317" s="46" t="s">
        <v>298</v>
      </c>
      <c r="F317" s="35">
        <v>40000</v>
      </c>
      <c r="G317" s="40">
        <v>44500</v>
      </c>
      <c r="H317" s="35">
        <v>40000</v>
      </c>
      <c r="I317" s="35">
        <f t="shared" si="8"/>
        <v>84500</v>
      </c>
      <c r="J317" s="36">
        <f t="shared" si="9"/>
        <v>0.898876404494382</v>
      </c>
      <c r="K317" s="48" t="s">
        <v>83</v>
      </c>
      <c r="L317" s="48" t="s">
        <v>83</v>
      </c>
      <c r="M317" s="52">
        <v>41608</v>
      </c>
      <c r="N317" s="48" t="s">
        <v>86</v>
      </c>
      <c r="O317" s="35">
        <v>40000</v>
      </c>
      <c r="P317" s="35"/>
      <c r="Q317" s="35"/>
      <c r="R317" s="35"/>
      <c r="S317" s="41"/>
    </row>
    <row r="318" spans="1:19" s="15" customFormat="1" ht="26.25" customHeight="1" x14ac:dyDescent="0.2">
      <c r="A318" s="43" t="s">
        <v>615</v>
      </c>
      <c r="B318" s="46" t="s">
        <v>619</v>
      </c>
      <c r="C318" s="44" t="s">
        <v>283</v>
      </c>
      <c r="D318" s="47">
        <v>7658</v>
      </c>
      <c r="E318" s="46" t="s">
        <v>298</v>
      </c>
      <c r="F318" s="35">
        <v>14500</v>
      </c>
      <c r="G318" s="40">
        <v>44500</v>
      </c>
      <c r="H318" s="35">
        <f>40000+14500</f>
        <v>54500</v>
      </c>
      <c r="I318" s="35">
        <f t="shared" si="8"/>
        <v>99000</v>
      </c>
      <c r="J318" s="36">
        <f t="shared" si="9"/>
        <v>1.2247191011235956</v>
      </c>
      <c r="K318" s="48" t="s">
        <v>83</v>
      </c>
      <c r="L318" s="48" t="s">
        <v>83</v>
      </c>
      <c r="M318" s="52">
        <v>41820</v>
      </c>
      <c r="N318" s="48" t="s">
        <v>86</v>
      </c>
      <c r="O318" s="35">
        <v>14500</v>
      </c>
      <c r="P318" s="35"/>
      <c r="Q318" s="35"/>
      <c r="R318" s="35"/>
      <c r="S318" s="41"/>
    </row>
    <row r="319" spans="1:19" s="15" customFormat="1" ht="26.25" customHeight="1" x14ac:dyDescent="0.2">
      <c r="A319" s="43" t="s">
        <v>756</v>
      </c>
      <c r="B319" s="46" t="s">
        <v>619</v>
      </c>
      <c r="C319" s="44" t="s">
        <v>283</v>
      </c>
      <c r="D319" s="47" t="s">
        <v>763</v>
      </c>
      <c r="E319" s="46" t="s">
        <v>298</v>
      </c>
      <c r="F319" s="35">
        <v>45000</v>
      </c>
      <c r="G319" s="40">
        <v>44500</v>
      </c>
      <c r="H319" s="35">
        <f>40000+14500+45000</f>
        <v>99500</v>
      </c>
      <c r="I319" s="35">
        <f t="shared" si="8"/>
        <v>144000</v>
      </c>
      <c r="J319" s="36">
        <f t="shared" si="9"/>
        <v>2.2359550561797752</v>
      </c>
      <c r="K319" s="48" t="s">
        <v>83</v>
      </c>
      <c r="L319" s="48" t="s">
        <v>83</v>
      </c>
      <c r="M319" s="38">
        <v>41820</v>
      </c>
      <c r="N319" s="48" t="s">
        <v>86</v>
      </c>
      <c r="O319" s="35">
        <v>45000</v>
      </c>
      <c r="P319" s="35"/>
      <c r="Q319" s="35"/>
      <c r="R319" s="35"/>
      <c r="S319" s="41"/>
    </row>
    <row r="320" spans="1:19" s="15" customFormat="1" ht="26.25" customHeight="1" x14ac:dyDescent="0.2">
      <c r="A320" s="43" t="s">
        <v>972</v>
      </c>
      <c r="B320" s="46" t="s">
        <v>619</v>
      </c>
      <c r="C320" s="44" t="s">
        <v>977</v>
      </c>
      <c r="D320" s="47">
        <v>8295</v>
      </c>
      <c r="E320" s="46" t="s">
        <v>981</v>
      </c>
      <c r="F320" s="35">
        <v>68540</v>
      </c>
      <c r="G320" s="35">
        <v>68540</v>
      </c>
      <c r="H320" s="35">
        <v>0</v>
      </c>
      <c r="I320" s="35">
        <f t="shared" si="8"/>
        <v>68540</v>
      </c>
      <c r="J320" s="36">
        <f t="shared" si="9"/>
        <v>0</v>
      </c>
      <c r="K320" s="48" t="s">
        <v>83</v>
      </c>
      <c r="L320" s="48" t="s">
        <v>83</v>
      </c>
      <c r="M320" s="38">
        <v>42004</v>
      </c>
      <c r="N320" s="48"/>
      <c r="O320" s="35">
        <v>68540</v>
      </c>
      <c r="P320" s="35"/>
      <c r="Q320" s="35"/>
      <c r="R320" s="35"/>
      <c r="S320" s="41"/>
    </row>
    <row r="321" spans="1:19" s="15" customFormat="1" ht="26.25" customHeight="1" x14ac:dyDescent="0.2">
      <c r="A321" s="43" t="s">
        <v>475</v>
      </c>
      <c r="B321" s="46" t="s">
        <v>479</v>
      </c>
      <c r="C321" s="44" t="s">
        <v>480</v>
      </c>
      <c r="D321" s="47">
        <v>7344</v>
      </c>
      <c r="E321" s="46" t="s">
        <v>484</v>
      </c>
      <c r="F321" s="35">
        <v>99475</v>
      </c>
      <c r="G321" s="40">
        <v>99475</v>
      </c>
      <c r="H321" s="35">
        <v>0</v>
      </c>
      <c r="I321" s="35">
        <f t="shared" si="8"/>
        <v>99475</v>
      </c>
      <c r="J321" s="36">
        <f t="shared" si="9"/>
        <v>0</v>
      </c>
      <c r="K321" s="48" t="s">
        <v>83</v>
      </c>
      <c r="L321" s="48" t="s">
        <v>85</v>
      </c>
      <c r="M321" s="38">
        <v>41820</v>
      </c>
      <c r="N321" s="48"/>
      <c r="O321" s="35">
        <v>99475</v>
      </c>
      <c r="P321" s="35"/>
      <c r="Q321" s="35"/>
      <c r="R321" s="35"/>
      <c r="S321" s="41"/>
    </row>
    <row r="322" spans="1:19" s="15" customFormat="1" ht="26.25" customHeight="1" x14ac:dyDescent="0.2">
      <c r="A322" s="43" t="s">
        <v>22</v>
      </c>
      <c r="B322" s="46" t="s">
        <v>40</v>
      </c>
      <c r="C322" s="44" t="s">
        <v>53</v>
      </c>
      <c r="D322" s="47" t="s">
        <v>64</v>
      </c>
      <c r="E322" s="46" t="s">
        <v>71</v>
      </c>
      <c r="F322" s="49">
        <v>10000</v>
      </c>
      <c r="G322" s="40">
        <v>20000</v>
      </c>
      <c r="H322" s="35">
        <f>20000+10000</f>
        <v>30000</v>
      </c>
      <c r="I322" s="49">
        <f t="shared" ref="I322:I357" si="11">G322+H322</f>
        <v>50000</v>
      </c>
      <c r="J322" s="51">
        <f t="shared" ref="J322:J357" si="12">IF(G322=0,100%,(I322-G322)/G322)</f>
        <v>1.5</v>
      </c>
      <c r="K322" s="48" t="s">
        <v>83</v>
      </c>
      <c r="L322" s="48" t="s">
        <v>83</v>
      </c>
      <c r="M322" s="38">
        <v>41455</v>
      </c>
      <c r="N322" s="48" t="s">
        <v>86</v>
      </c>
      <c r="O322" s="41">
        <v>10000</v>
      </c>
      <c r="P322" s="54"/>
      <c r="Q322" s="41"/>
      <c r="R322" s="41"/>
      <c r="S322" s="41"/>
    </row>
    <row r="323" spans="1:19" s="15" customFormat="1" ht="26.25" customHeight="1" x14ac:dyDescent="0.2">
      <c r="A323" s="43" t="s">
        <v>228</v>
      </c>
      <c r="B323" s="46" t="s">
        <v>40</v>
      </c>
      <c r="C323" s="44" t="s">
        <v>233</v>
      </c>
      <c r="D323" s="34">
        <v>6959</v>
      </c>
      <c r="E323" s="46" t="s">
        <v>239</v>
      </c>
      <c r="F323" s="35">
        <v>8730</v>
      </c>
      <c r="G323" s="40">
        <v>8730</v>
      </c>
      <c r="H323" s="35">
        <v>0</v>
      </c>
      <c r="I323" s="35">
        <f t="shared" si="11"/>
        <v>8730</v>
      </c>
      <c r="J323" s="36">
        <f t="shared" si="12"/>
        <v>0</v>
      </c>
      <c r="K323" s="48" t="s">
        <v>83</v>
      </c>
      <c r="L323" s="48" t="s">
        <v>85</v>
      </c>
      <c r="M323" s="38">
        <v>41547</v>
      </c>
      <c r="N323" s="37"/>
      <c r="O323" s="35">
        <v>8730</v>
      </c>
      <c r="P323" s="35"/>
      <c r="Q323" s="35"/>
      <c r="R323" s="35"/>
      <c r="S323" s="41"/>
    </row>
    <row r="324" spans="1:19" s="15" customFormat="1" ht="26.25" customHeight="1" x14ac:dyDescent="0.2">
      <c r="A324" s="43" t="s">
        <v>248</v>
      </c>
      <c r="B324" s="46" t="s">
        <v>40</v>
      </c>
      <c r="C324" s="44" t="s">
        <v>255</v>
      </c>
      <c r="D324" s="34">
        <v>6892</v>
      </c>
      <c r="E324" s="46" t="s">
        <v>263</v>
      </c>
      <c r="F324" s="35">
        <v>25000</v>
      </c>
      <c r="G324" s="40">
        <v>25000</v>
      </c>
      <c r="H324" s="35">
        <v>0</v>
      </c>
      <c r="I324" s="35">
        <f t="shared" si="11"/>
        <v>25000</v>
      </c>
      <c r="J324" s="36">
        <f t="shared" si="12"/>
        <v>0</v>
      </c>
      <c r="K324" s="48" t="s">
        <v>83</v>
      </c>
      <c r="L324" s="48" t="s">
        <v>83</v>
      </c>
      <c r="M324" s="38">
        <v>41820</v>
      </c>
      <c r="N324" s="48"/>
      <c r="O324" s="35">
        <v>25000</v>
      </c>
      <c r="P324" s="35"/>
      <c r="Q324" s="35"/>
      <c r="R324" s="35"/>
      <c r="S324" s="41"/>
    </row>
    <row r="325" spans="1:19" s="15" customFormat="1" ht="26.25" customHeight="1" x14ac:dyDescent="0.2">
      <c r="A325" s="43" t="s">
        <v>265</v>
      </c>
      <c r="B325" s="46" t="s">
        <v>40</v>
      </c>
      <c r="C325" s="44" t="s">
        <v>279</v>
      </c>
      <c r="D325" s="34">
        <v>6347</v>
      </c>
      <c r="E325" s="46" t="s">
        <v>294</v>
      </c>
      <c r="F325" s="35">
        <f>30000*3</f>
        <v>90000</v>
      </c>
      <c r="G325" s="40">
        <f>30000*3</f>
        <v>90000</v>
      </c>
      <c r="H325" s="35">
        <v>0</v>
      </c>
      <c r="I325" s="35">
        <f t="shared" si="11"/>
        <v>90000</v>
      </c>
      <c r="J325" s="36">
        <f t="shared" si="12"/>
        <v>0</v>
      </c>
      <c r="K325" s="48" t="s">
        <v>83</v>
      </c>
      <c r="L325" s="48" t="s">
        <v>85</v>
      </c>
      <c r="M325" s="52">
        <v>41820</v>
      </c>
      <c r="N325" s="48" t="s">
        <v>84</v>
      </c>
      <c r="O325" s="35">
        <v>30000</v>
      </c>
      <c r="P325" s="35">
        <v>30000</v>
      </c>
      <c r="Q325" s="35">
        <v>30000</v>
      </c>
      <c r="R325" s="35"/>
      <c r="S325" s="41"/>
    </row>
    <row r="326" spans="1:19" s="15" customFormat="1" ht="18" customHeight="1" x14ac:dyDescent="0.2">
      <c r="A326" s="43" t="s">
        <v>411</v>
      </c>
      <c r="B326" s="46" t="s">
        <v>40</v>
      </c>
      <c r="C326" s="44" t="s">
        <v>414</v>
      </c>
      <c r="D326" s="34">
        <v>7105</v>
      </c>
      <c r="E326" s="46" t="s">
        <v>413</v>
      </c>
      <c r="F326" s="40">
        <f>98800*3</f>
        <v>296400</v>
      </c>
      <c r="G326" s="40">
        <f>98800*3</f>
        <v>296400</v>
      </c>
      <c r="H326" s="35">
        <v>0</v>
      </c>
      <c r="I326" s="35">
        <f t="shared" si="11"/>
        <v>296400</v>
      </c>
      <c r="J326" s="36">
        <f t="shared" si="12"/>
        <v>0</v>
      </c>
      <c r="K326" s="48" t="s">
        <v>83</v>
      </c>
      <c r="L326" s="48" t="s">
        <v>85</v>
      </c>
      <c r="M326" s="38">
        <v>41820</v>
      </c>
      <c r="N326" s="48" t="s">
        <v>84</v>
      </c>
      <c r="O326" s="35">
        <v>98800</v>
      </c>
      <c r="P326" s="35">
        <v>98800</v>
      </c>
      <c r="Q326" s="35">
        <v>98800</v>
      </c>
      <c r="R326" s="35"/>
      <c r="S326" s="41"/>
    </row>
    <row r="327" spans="1:19" s="15" customFormat="1" ht="26.25" customHeight="1" x14ac:dyDescent="0.2">
      <c r="A327" s="43" t="s">
        <v>426</v>
      </c>
      <c r="B327" s="46" t="s">
        <v>40</v>
      </c>
      <c r="C327" s="44" t="s">
        <v>440</v>
      </c>
      <c r="D327" s="34">
        <v>7154</v>
      </c>
      <c r="E327" s="46" t="s">
        <v>432</v>
      </c>
      <c r="F327" s="35">
        <f>25000*3</f>
        <v>75000</v>
      </c>
      <c r="G327" s="40">
        <f>25000*3</f>
        <v>75000</v>
      </c>
      <c r="H327" s="35">
        <v>0</v>
      </c>
      <c r="I327" s="35">
        <f t="shared" si="11"/>
        <v>75000</v>
      </c>
      <c r="J327" s="36">
        <f t="shared" si="12"/>
        <v>0</v>
      </c>
      <c r="K327" s="48" t="s">
        <v>83</v>
      </c>
      <c r="L327" s="48" t="s">
        <v>83</v>
      </c>
      <c r="M327" s="38">
        <v>41912</v>
      </c>
      <c r="N327" s="48" t="s">
        <v>84</v>
      </c>
      <c r="O327" s="35">
        <v>25000</v>
      </c>
      <c r="P327" s="35">
        <v>25000</v>
      </c>
      <c r="Q327" s="35">
        <v>25000</v>
      </c>
      <c r="R327" s="35"/>
      <c r="S327" s="41"/>
    </row>
    <row r="328" spans="1:19" s="15" customFormat="1" ht="26.25" customHeight="1" x14ac:dyDescent="0.2">
      <c r="A328" s="43" t="s">
        <v>627</v>
      </c>
      <c r="B328" s="46" t="s">
        <v>40</v>
      </c>
      <c r="C328" s="44" t="s">
        <v>233</v>
      </c>
      <c r="D328" s="47">
        <v>7673</v>
      </c>
      <c r="E328" s="46" t="s">
        <v>636</v>
      </c>
      <c r="F328" s="35">
        <v>9000</v>
      </c>
      <c r="G328" s="40">
        <v>9000</v>
      </c>
      <c r="H328" s="35">
        <v>0</v>
      </c>
      <c r="I328" s="35">
        <f t="shared" si="11"/>
        <v>9000</v>
      </c>
      <c r="J328" s="36">
        <f t="shared" si="12"/>
        <v>0</v>
      </c>
      <c r="K328" s="48" t="s">
        <v>83</v>
      </c>
      <c r="L328" s="48" t="s">
        <v>85</v>
      </c>
      <c r="M328" s="38">
        <v>41670</v>
      </c>
      <c r="N328" s="48"/>
      <c r="O328" s="35">
        <v>9000</v>
      </c>
      <c r="P328" s="35"/>
      <c r="Q328" s="35"/>
      <c r="R328" s="35"/>
      <c r="S328" s="41"/>
    </row>
    <row r="329" spans="1:19" s="15" customFormat="1" ht="26.25" customHeight="1" x14ac:dyDescent="0.2">
      <c r="A329" s="43" t="s">
        <v>727</v>
      </c>
      <c r="B329" s="46" t="s">
        <v>40</v>
      </c>
      <c r="C329" s="44" t="s">
        <v>737</v>
      </c>
      <c r="D329" s="47">
        <v>7897</v>
      </c>
      <c r="E329" s="46" t="s">
        <v>747</v>
      </c>
      <c r="F329" s="35">
        <f>10000*3</f>
        <v>30000</v>
      </c>
      <c r="G329" s="40">
        <f>10000*3</f>
        <v>30000</v>
      </c>
      <c r="H329" s="35">
        <v>0</v>
      </c>
      <c r="I329" s="35">
        <f t="shared" si="11"/>
        <v>30000</v>
      </c>
      <c r="J329" s="36">
        <f t="shared" si="12"/>
        <v>0</v>
      </c>
      <c r="K329" s="48" t="s">
        <v>83</v>
      </c>
      <c r="L329" s="48" t="s">
        <v>85</v>
      </c>
      <c r="M329" s="38">
        <v>41820</v>
      </c>
      <c r="N329" s="48" t="s">
        <v>84</v>
      </c>
      <c r="O329" s="35">
        <v>10000</v>
      </c>
      <c r="P329" s="35">
        <v>10000</v>
      </c>
      <c r="Q329" s="35">
        <v>10000</v>
      </c>
      <c r="R329" s="35"/>
      <c r="S329" s="41"/>
    </row>
    <row r="330" spans="1:19" s="15" customFormat="1" ht="26.25" customHeight="1" x14ac:dyDescent="0.2">
      <c r="A330" s="43" t="s">
        <v>728</v>
      </c>
      <c r="B330" s="46" t="s">
        <v>40</v>
      </c>
      <c r="C330" s="44" t="s">
        <v>738</v>
      </c>
      <c r="D330" s="47">
        <v>7899</v>
      </c>
      <c r="E330" s="46" t="s">
        <v>748</v>
      </c>
      <c r="F330" s="35">
        <f>15000*3</f>
        <v>45000</v>
      </c>
      <c r="G330" s="35">
        <f>15000*3</f>
        <v>45000</v>
      </c>
      <c r="H330" s="35">
        <v>0</v>
      </c>
      <c r="I330" s="35">
        <f t="shared" si="11"/>
        <v>45000</v>
      </c>
      <c r="J330" s="36">
        <f t="shared" si="12"/>
        <v>0</v>
      </c>
      <c r="K330" s="48" t="s">
        <v>83</v>
      </c>
      <c r="L330" s="48" t="s">
        <v>85</v>
      </c>
      <c r="M330" s="38">
        <v>41820</v>
      </c>
      <c r="N330" s="48" t="s">
        <v>84</v>
      </c>
      <c r="O330" s="35">
        <v>15000</v>
      </c>
      <c r="P330" s="35">
        <v>15000</v>
      </c>
      <c r="Q330" s="35">
        <v>15000</v>
      </c>
      <c r="R330" s="35"/>
      <c r="S330" s="41"/>
    </row>
    <row r="331" spans="1:19" s="15" customFormat="1" ht="26.25" customHeight="1" x14ac:dyDescent="0.2">
      <c r="A331" s="43" t="s">
        <v>865</v>
      </c>
      <c r="B331" s="46" t="s">
        <v>40</v>
      </c>
      <c r="C331" s="44" t="s">
        <v>53</v>
      </c>
      <c r="D331" s="47" t="s">
        <v>879</v>
      </c>
      <c r="E331" s="46" t="s">
        <v>871</v>
      </c>
      <c r="F331" s="35">
        <v>20000</v>
      </c>
      <c r="G331" s="35">
        <v>20000</v>
      </c>
      <c r="H331" s="35">
        <f>20000+20000+20000+20000</f>
        <v>80000</v>
      </c>
      <c r="I331" s="35">
        <f t="shared" si="11"/>
        <v>100000</v>
      </c>
      <c r="J331" s="36">
        <f t="shared" si="12"/>
        <v>4</v>
      </c>
      <c r="K331" s="48" t="s">
        <v>83</v>
      </c>
      <c r="L331" s="48" t="s">
        <v>83</v>
      </c>
      <c r="M331" s="38">
        <v>41820</v>
      </c>
      <c r="N331" s="48" t="s">
        <v>86</v>
      </c>
      <c r="O331" s="35">
        <v>20000</v>
      </c>
      <c r="P331" s="35"/>
      <c r="Q331" s="35"/>
      <c r="R331" s="35"/>
      <c r="S331" s="41"/>
    </row>
    <row r="332" spans="1:19" s="15" customFormat="1" ht="26.25" customHeight="1" x14ac:dyDescent="0.2">
      <c r="A332" s="43" t="s">
        <v>884</v>
      </c>
      <c r="B332" s="46" t="s">
        <v>40</v>
      </c>
      <c r="C332" s="44" t="s">
        <v>888</v>
      </c>
      <c r="D332" s="47" t="s">
        <v>890</v>
      </c>
      <c r="E332" s="56" t="s">
        <v>893</v>
      </c>
      <c r="F332" s="35">
        <v>35000</v>
      </c>
      <c r="G332" s="35">
        <v>36743</v>
      </c>
      <c r="H332" s="35">
        <f>36743+36743+35000</f>
        <v>108486</v>
      </c>
      <c r="I332" s="35">
        <f t="shared" si="11"/>
        <v>145229</v>
      </c>
      <c r="J332" s="36">
        <f t="shared" si="12"/>
        <v>2.9525623928367306</v>
      </c>
      <c r="K332" s="48" t="s">
        <v>83</v>
      </c>
      <c r="L332" s="48" t="s">
        <v>83</v>
      </c>
      <c r="M332" s="38">
        <v>42124</v>
      </c>
      <c r="N332" s="48" t="s">
        <v>86</v>
      </c>
      <c r="O332" s="35">
        <v>35000</v>
      </c>
      <c r="P332" s="35"/>
      <c r="Q332" s="35"/>
      <c r="R332" s="35"/>
      <c r="S332" s="41"/>
    </row>
    <row r="333" spans="1:19" s="15" customFormat="1" ht="26.25" customHeight="1" x14ac:dyDescent="0.2">
      <c r="A333" s="43" t="s">
        <v>956</v>
      </c>
      <c r="B333" s="46" t="s">
        <v>40</v>
      </c>
      <c r="C333" s="44" t="s">
        <v>961</v>
      </c>
      <c r="D333" s="47" t="s">
        <v>964</v>
      </c>
      <c r="E333" s="46" t="s">
        <v>969</v>
      </c>
      <c r="F333" s="35">
        <v>3000</v>
      </c>
      <c r="G333" s="35">
        <v>33000</v>
      </c>
      <c r="H333" s="35">
        <v>3000</v>
      </c>
      <c r="I333" s="35">
        <f t="shared" si="11"/>
        <v>36000</v>
      </c>
      <c r="J333" s="36">
        <f t="shared" si="12"/>
        <v>9.0909090909090912E-2</v>
      </c>
      <c r="K333" s="48" t="s">
        <v>83</v>
      </c>
      <c r="L333" s="48" t="s">
        <v>83</v>
      </c>
      <c r="M333" s="38">
        <v>41820</v>
      </c>
      <c r="N333" s="48" t="s">
        <v>86</v>
      </c>
      <c r="O333" s="35">
        <v>3000</v>
      </c>
      <c r="P333" s="35"/>
      <c r="Q333" s="35"/>
      <c r="R333" s="35"/>
      <c r="S333" s="41"/>
    </row>
    <row r="334" spans="1:19" s="15" customFormat="1" ht="26.25" customHeight="1" x14ac:dyDescent="0.2">
      <c r="A334" s="43" t="s">
        <v>989</v>
      </c>
      <c r="B334" s="46" t="s">
        <v>40</v>
      </c>
      <c r="C334" s="44" t="s">
        <v>993</v>
      </c>
      <c r="D334" s="47">
        <v>8332</v>
      </c>
      <c r="E334" s="46" t="s">
        <v>997</v>
      </c>
      <c r="F334" s="35">
        <v>20000</v>
      </c>
      <c r="G334" s="35">
        <v>20000</v>
      </c>
      <c r="H334" s="35">
        <v>0</v>
      </c>
      <c r="I334" s="35">
        <f t="shared" si="11"/>
        <v>20000</v>
      </c>
      <c r="J334" s="36">
        <f t="shared" si="12"/>
        <v>0</v>
      </c>
      <c r="K334" s="48" t="s">
        <v>83</v>
      </c>
      <c r="L334" s="48" t="s">
        <v>83</v>
      </c>
      <c r="M334" s="38">
        <v>41820</v>
      </c>
      <c r="N334" s="48"/>
      <c r="O334" s="35">
        <v>20000</v>
      </c>
      <c r="P334" s="35"/>
      <c r="Q334" s="35"/>
      <c r="R334" s="35"/>
      <c r="S334" s="41"/>
    </row>
    <row r="335" spans="1:19" s="15" customFormat="1" ht="26.25" customHeight="1" x14ac:dyDescent="0.2">
      <c r="A335" s="43" t="s">
        <v>1054</v>
      </c>
      <c r="B335" s="46" t="s">
        <v>40</v>
      </c>
      <c r="C335" s="44" t="s">
        <v>1063</v>
      </c>
      <c r="D335" s="47">
        <v>8323</v>
      </c>
      <c r="E335" s="46" t="s">
        <v>1071</v>
      </c>
      <c r="F335" s="35">
        <f>90000*3</f>
        <v>270000</v>
      </c>
      <c r="G335" s="35">
        <f>90000*3</f>
        <v>270000</v>
      </c>
      <c r="H335" s="35">
        <v>0</v>
      </c>
      <c r="I335" s="35">
        <f t="shared" si="11"/>
        <v>270000</v>
      </c>
      <c r="J335" s="36">
        <f t="shared" si="12"/>
        <v>0</v>
      </c>
      <c r="K335" s="48" t="s">
        <v>83</v>
      </c>
      <c r="L335" s="48" t="s">
        <v>85</v>
      </c>
      <c r="M335" s="38">
        <v>42185</v>
      </c>
      <c r="N335" s="48" t="s">
        <v>84</v>
      </c>
      <c r="O335" s="35"/>
      <c r="P335" s="35">
        <v>90000</v>
      </c>
      <c r="Q335" s="35">
        <v>90000</v>
      </c>
      <c r="R335" s="35">
        <v>90000</v>
      </c>
      <c r="S335" s="41"/>
    </row>
    <row r="336" spans="1:19" s="15" customFormat="1" ht="38.25" customHeight="1" x14ac:dyDescent="0.2">
      <c r="A336" s="43" t="s">
        <v>143</v>
      </c>
      <c r="B336" s="46" t="s">
        <v>145</v>
      </c>
      <c r="C336" s="44" t="s">
        <v>147</v>
      </c>
      <c r="D336" s="34">
        <v>6565</v>
      </c>
      <c r="E336" s="46" t="s">
        <v>150</v>
      </c>
      <c r="F336" s="35">
        <f>22000*3</f>
        <v>66000</v>
      </c>
      <c r="G336" s="40">
        <f>22000*3</f>
        <v>66000</v>
      </c>
      <c r="H336" s="35">
        <v>0</v>
      </c>
      <c r="I336" s="35">
        <f t="shared" si="11"/>
        <v>66000</v>
      </c>
      <c r="J336" s="36">
        <f t="shared" si="12"/>
        <v>0</v>
      </c>
      <c r="K336" s="48" t="s">
        <v>83</v>
      </c>
      <c r="L336" s="48" t="s">
        <v>83</v>
      </c>
      <c r="M336" s="52" t="s">
        <v>152</v>
      </c>
      <c r="N336" s="48" t="s">
        <v>84</v>
      </c>
      <c r="O336" s="41">
        <v>22000</v>
      </c>
      <c r="P336" s="41">
        <v>22000</v>
      </c>
      <c r="Q336" s="41">
        <v>22000</v>
      </c>
      <c r="R336" s="41"/>
      <c r="S336" s="41"/>
    </row>
    <row r="337" spans="1:19" s="15" customFormat="1" ht="26.25" customHeight="1" x14ac:dyDescent="0.2">
      <c r="A337" s="43" t="s">
        <v>144</v>
      </c>
      <c r="B337" s="46" t="s">
        <v>145</v>
      </c>
      <c r="C337" s="44" t="s">
        <v>148</v>
      </c>
      <c r="D337" s="34">
        <v>6657</v>
      </c>
      <c r="E337" s="46" t="s">
        <v>151</v>
      </c>
      <c r="F337" s="35">
        <v>5500</v>
      </c>
      <c r="G337" s="40">
        <v>30000</v>
      </c>
      <c r="H337" s="35">
        <v>5500</v>
      </c>
      <c r="I337" s="35">
        <f t="shared" si="11"/>
        <v>35500</v>
      </c>
      <c r="J337" s="36">
        <f t="shared" si="12"/>
        <v>0.18333333333333332</v>
      </c>
      <c r="K337" s="48" t="s">
        <v>83</v>
      </c>
      <c r="L337" s="48" t="s">
        <v>83</v>
      </c>
      <c r="M337" s="38">
        <v>41820</v>
      </c>
      <c r="N337" s="48" t="s">
        <v>86</v>
      </c>
      <c r="O337" s="41">
        <v>5500</v>
      </c>
      <c r="P337" s="41"/>
      <c r="Q337" s="41"/>
      <c r="R337" s="41"/>
      <c r="S337" s="41"/>
    </row>
    <row r="338" spans="1:19" s="15" customFormat="1" ht="26.25" customHeight="1" x14ac:dyDescent="0.2">
      <c r="A338" s="43" t="s">
        <v>167</v>
      </c>
      <c r="B338" s="46" t="s">
        <v>145</v>
      </c>
      <c r="C338" s="44" t="s">
        <v>174</v>
      </c>
      <c r="D338" s="34">
        <v>6573</v>
      </c>
      <c r="E338" s="46" t="s">
        <v>181</v>
      </c>
      <c r="F338" s="35">
        <f>20000+20000+20000</f>
        <v>60000</v>
      </c>
      <c r="G338" s="35">
        <f>20000+20000+20000</f>
        <v>60000</v>
      </c>
      <c r="H338" s="35">
        <v>0</v>
      </c>
      <c r="I338" s="35">
        <f t="shared" si="11"/>
        <v>60000</v>
      </c>
      <c r="J338" s="36">
        <f t="shared" si="12"/>
        <v>0</v>
      </c>
      <c r="K338" s="48" t="s">
        <v>83</v>
      </c>
      <c r="L338" s="48" t="s">
        <v>83</v>
      </c>
      <c r="M338" s="38">
        <v>41820</v>
      </c>
      <c r="N338" s="48" t="s">
        <v>84</v>
      </c>
      <c r="O338" s="41">
        <v>20000</v>
      </c>
      <c r="P338" s="41">
        <v>20000</v>
      </c>
      <c r="Q338" s="41">
        <v>20000</v>
      </c>
      <c r="R338" s="41"/>
      <c r="S338" s="41"/>
    </row>
    <row r="339" spans="1:19" s="15" customFormat="1" ht="26.25" customHeight="1" x14ac:dyDescent="0.2">
      <c r="A339" s="43" t="s">
        <v>168</v>
      </c>
      <c r="B339" s="46" t="s">
        <v>145</v>
      </c>
      <c r="C339" s="44" t="s">
        <v>175</v>
      </c>
      <c r="D339" s="34">
        <v>6575</v>
      </c>
      <c r="E339" s="46" t="s">
        <v>182</v>
      </c>
      <c r="F339" s="35">
        <f>15000+15000+15000</f>
        <v>45000</v>
      </c>
      <c r="G339" s="35">
        <f>15000+15000+15000</f>
        <v>45000</v>
      </c>
      <c r="H339" s="35">
        <v>0</v>
      </c>
      <c r="I339" s="35">
        <f t="shared" si="11"/>
        <v>45000</v>
      </c>
      <c r="J339" s="36">
        <f t="shared" si="12"/>
        <v>0</v>
      </c>
      <c r="K339" s="48" t="s">
        <v>83</v>
      </c>
      <c r="L339" s="48" t="s">
        <v>83</v>
      </c>
      <c r="M339" s="38">
        <v>41820</v>
      </c>
      <c r="N339" s="48" t="s">
        <v>84</v>
      </c>
      <c r="O339" s="41">
        <v>15000</v>
      </c>
      <c r="P339" s="41">
        <v>15000</v>
      </c>
      <c r="Q339" s="41">
        <v>15000</v>
      </c>
      <c r="R339" s="41"/>
      <c r="S339" s="41"/>
    </row>
    <row r="340" spans="1:19" s="15" customFormat="1" ht="26.25" customHeight="1" x14ac:dyDescent="0.2">
      <c r="A340" s="43" t="s">
        <v>625</v>
      </c>
      <c r="B340" s="46" t="s">
        <v>145</v>
      </c>
      <c r="C340" s="44" t="s">
        <v>175</v>
      </c>
      <c r="D340" s="47">
        <v>7591</v>
      </c>
      <c r="E340" s="46" t="s">
        <v>634</v>
      </c>
      <c r="F340" s="35">
        <v>30000</v>
      </c>
      <c r="G340" s="40">
        <v>30000</v>
      </c>
      <c r="H340" s="35">
        <v>0</v>
      </c>
      <c r="I340" s="35">
        <f t="shared" si="11"/>
        <v>30000</v>
      </c>
      <c r="J340" s="36">
        <f t="shared" si="12"/>
        <v>0</v>
      </c>
      <c r="K340" s="48" t="s">
        <v>83</v>
      </c>
      <c r="L340" s="48" t="s">
        <v>85</v>
      </c>
      <c r="M340" s="52">
        <v>41820</v>
      </c>
      <c r="N340" s="48"/>
      <c r="O340" s="35">
        <v>30000</v>
      </c>
      <c r="P340" s="35"/>
      <c r="Q340" s="35"/>
      <c r="R340" s="35"/>
      <c r="S340" s="41"/>
    </row>
    <row r="341" spans="1:19" s="15" customFormat="1" ht="26.25" customHeight="1" x14ac:dyDescent="0.2">
      <c r="A341" s="43" t="s">
        <v>772</v>
      </c>
      <c r="B341" s="46" t="s">
        <v>145</v>
      </c>
      <c r="C341" s="44" t="s">
        <v>776</v>
      </c>
      <c r="D341" s="47">
        <v>8056</v>
      </c>
      <c r="E341" s="46" t="s">
        <v>782</v>
      </c>
      <c r="F341" s="35">
        <v>20000</v>
      </c>
      <c r="G341" s="40">
        <v>20000</v>
      </c>
      <c r="H341" s="35">
        <v>0</v>
      </c>
      <c r="I341" s="35">
        <f t="shared" si="11"/>
        <v>20000</v>
      </c>
      <c r="J341" s="36">
        <f t="shared" si="12"/>
        <v>0</v>
      </c>
      <c r="K341" s="48" t="s">
        <v>83</v>
      </c>
      <c r="L341" s="48" t="s">
        <v>83</v>
      </c>
      <c r="M341" s="38">
        <v>41946</v>
      </c>
      <c r="N341" s="48"/>
      <c r="O341" s="35">
        <v>20000</v>
      </c>
      <c r="P341" s="35"/>
      <c r="Q341" s="35"/>
      <c r="R341" s="35"/>
      <c r="S341" s="41"/>
    </row>
    <row r="342" spans="1:19" s="15" customFormat="1" ht="26.25" customHeight="1" x14ac:dyDescent="0.2">
      <c r="A342" s="43" t="s">
        <v>885</v>
      </c>
      <c r="B342" s="46" t="s">
        <v>145</v>
      </c>
      <c r="C342" s="44" t="s">
        <v>889</v>
      </c>
      <c r="D342" s="47">
        <v>8153</v>
      </c>
      <c r="E342" s="46" t="s">
        <v>894</v>
      </c>
      <c r="F342" s="35">
        <v>2000</v>
      </c>
      <c r="G342" s="35">
        <v>4000</v>
      </c>
      <c r="H342" s="35">
        <v>2000</v>
      </c>
      <c r="I342" s="35">
        <f t="shared" si="11"/>
        <v>6000</v>
      </c>
      <c r="J342" s="36">
        <f t="shared" si="12"/>
        <v>0.5</v>
      </c>
      <c r="K342" s="48" t="s">
        <v>83</v>
      </c>
      <c r="L342" s="48" t="s">
        <v>83</v>
      </c>
      <c r="M342" s="38">
        <v>41820</v>
      </c>
      <c r="N342" s="48" t="s">
        <v>86</v>
      </c>
      <c r="O342" s="35">
        <v>2000</v>
      </c>
      <c r="P342" s="35"/>
      <c r="Q342" s="35"/>
      <c r="R342" s="35"/>
      <c r="S342" s="41"/>
    </row>
    <row r="343" spans="1:19" s="15" customFormat="1" ht="26.25" customHeight="1" x14ac:dyDescent="0.2">
      <c r="A343" s="43" t="s">
        <v>1018</v>
      </c>
      <c r="B343" s="46" t="s">
        <v>145</v>
      </c>
      <c r="C343" s="44" t="s">
        <v>148</v>
      </c>
      <c r="D343" s="47">
        <v>8425</v>
      </c>
      <c r="E343" s="46" t="s">
        <v>1032</v>
      </c>
      <c r="F343" s="35">
        <v>5500</v>
      </c>
      <c r="G343" s="35">
        <v>5500</v>
      </c>
      <c r="H343" s="35">
        <v>0</v>
      </c>
      <c r="I343" s="35">
        <f t="shared" si="11"/>
        <v>5500</v>
      </c>
      <c r="J343" s="36">
        <f t="shared" si="12"/>
        <v>0</v>
      </c>
      <c r="K343" s="48" t="s">
        <v>83</v>
      </c>
      <c r="L343" s="48" t="s">
        <v>83</v>
      </c>
      <c r="M343" s="38">
        <v>41820</v>
      </c>
      <c r="N343" s="48"/>
      <c r="O343" s="35">
        <v>5500</v>
      </c>
      <c r="P343" s="35"/>
      <c r="Q343" s="35"/>
      <c r="R343" s="35"/>
      <c r="S343" s="41"/>
    </row>
    <row r="344" spans="1:19" s="15" customFormat="1" ht="26.25" customHeight="1" x14ac:dyDescent="0.2">
      <c r="A344" s="43" t="s">
        <v>1043</v>
      </c>
      <c r="B344" s="46" t="s">
        <v>145</v>
      </c>
      <c r="C344" s="44" t="s">
        <v>776</v>
      </c>
      <c r="D344" s="47" t="s">
        <v>1047</v>
      </c>
      <c r="E344" s="46" t="s">
        <v>1053</v>
      </c>
      <c r="F344" s="35">
        <v>3600</v>
      </c>
      <c r="G344" s="35">
        <v>20000</v>
      </c>
      <c r="H344" s="35">
        <v>3600</v>
      </c>
      <c r="I344" s="35">
        <f t="shared" si="11"/>
        <v>23600</v>
      </c>
      <c r="J344" s="36">
        <f t="shared" si="12"/>
        <v>0.18</v>
      </c>
      <c r="K344" s="48" t="s">
        <v>83</v>
      </c>
      <c r="L344" s="48" t="s">
        <v>83</v>
      </c>
      <c r="M344" s="38">
        <v>41946</v>
      </c>
      <c r="N344" s="48" t="s">
        <v>86</v>
      </c>
      <c r="O344" s="35">
        <v>3600</v>
      </c>
      <c r="P344" s="35"/>
      <c r="Q344" s="35"/>
      <c r="R344" s="35"/>
      <c r="S344" s="41"/>
    </row>
    <row r="345" spans="1:19" s="15" customFormat="1" ht="26.25" customHeight="1" x14ac:dyDescent="0.2">
      <c r="A345" s="43" t="s">
        <v>123</v>
      </c>
      <c r="B345" s="46" t="s">
        <v>125</v>
      </c>
      <c r="C345" s="44" t="s">
        <v>134</v>
      </c>
      <c r="D345" s="34">
        <v>6254</v>
      </c>
      <c r="E345" s="46" t="s">
        <v>141</v>
      </c>
      <c r="F345" s="35">
        <v>54348</v>
      </c>
      <c r="G345" s="40">
        <v>54348</v>
      </c>
      <c r="H345" s="35">
        <v>0</v>
      </c>
      <c r="I345" s="49">
        <f t="shared" si="11"/>
        <v>54348</v>
      </c>
      <c r="J345" s="51">
        <f t="shared" si="12"/>
        <v>0</v>
      </c>
      <c r="K345" s="48" t="s">
        <v>85</v>
      </c>
      <c r="L345" s="48" t="s">
        <v>85</v>
      </c>
      <c r="M345" s="38">
        <v>41820</v>
      </c>
      <c r="N345" s="48"/>
      <c r="O345" s="41">
        <v>54348</v>
      </c>
      <c r="P345" s="41"/>
      <c r="Q345" s="41"/>
      <c r="R345" s="41"/>
      <c r="S345" s="41"/>
    </row>
    <row r="346" spans="1:19" s="15" customFormat="1" ht="26.25" customHeight="1" x14ac:dyDescent="0.2">
      <c r="A346" s="43" t="s">
        <v>311</v>
      </c>
      <c r="B346" s="46" t="s">
        <v>125</v>
      </c>
      <c r="C346" s="44" t="s">
        <v>134</v>
      </c>
      <c r="D346" s="34">
        <v>7022</v>
      </c>
      <c r="E346" s="46" t="s">
        <v>327</v>
      </c>
      <c r="F346" s="35">
        <v>62401</v>
      </c>
      <c r="G346" s="40">
        <v>62401</v>
      </c>
      <c r="H346" s="35">
        <v>0</v>
      </c>
      <c r="I346" s="35">
        <f t="shared" si="11"/>
        <v>62401</v>
      </c>
      <c r="J346" s="36">
        <f t="shared" si="12"/>
        <v>0</v>
      </c>
      <c r="K346" s="48" t="s">
        <v>83</v>
      </c>
      <c r="L346" s="48" t="s">
        <v>85</v>
      </c>
      <c r="M346" s="38">
        <v>42990</v>
      </c>
      <c r="N346" s="48"/>
      <c r="O346" s="35">
        <v>62401</v>
      </c>
      <c r="P346" s="35"/>
      <c r="Q346" s="35"/>
      <c r="R346" s="35"/>
      <c r="S346" s="41"/>
    </row>
    <row r="347" spans="1:19" s="15" customFormat="1" ht="26.25" customHeight="1" x14ac:dyDescent="0.2">
      <c r="A347" s="43" t="s">
        <v>586</v>
      </c>
      <c r="B347" s="46" t="s">
        <v>125</v>
      </c>
      <c r="C347" s="44" t="s">
        <v>590</v>
      </c>
      <c r="D347" s="47">
        <v>7583</v>
      </c>
      <c r="E347" s="46" t="s">
        <v>593</v>
      </c>
      <c r="F347" s="35">
        <f>6800*3</f>
        <v>20400</v>
      </c>
      <c r="G347" s="40">
        <f>6800*3</f>
        <v>20400</v>
      </c>
      <c r="H347" s="35">
        <v>0</v>
      </c>
      <c r="I347" s="35">
        <f t="shared" si="11"/>
        <v>20400</v>
      </c>
      <c r="J347" s="36">
        <f t="shared" si="12"/>
        <v>0</v>
      </c>
      <c r="K347" s="48" t="s">
        <v>83</v>
      </c>
      <c r="L347" s="48" t="s">
        <v>83</v>
      </c>
      <c r="M347" s="38">
        <v>41982</v>
      </c>
      <c r="N347" s="48" t="s">
        <v>84</v>
      </c>
      <c r="O347" s="35">
        <v>6800</v>
      </c>
      <c r="P347" s="35">
        <v>6800</v>
      </c>
      <c r="Q347" s="35">
        <v>6800</v>
      </c>
      <c r="R347" s="35"/>
      <c r="S347" s="41"/>
    </row>
    <row r="348" spans="1:19" s="15" customFormat="1" ht="26.25" customHeight="1" x14ac:dyDescent="0.2">
      <c r="A348" s="43" t="s">
        <v>623</v>
      </c>
      <c r="B348" s="46" t="s">
        <v>125</v>
      </c>
      <c r="C348" s="44" t="s">
        <v>629</v>
      </c>
      <c r="D348" s="47">
        <v>7456</v>
      </c>
      <c r="E348" s="46" t="s">
        <v>638</v>
      </c>
      <c r="F348" s="35">
        <v>21650</v>
      </c>
      <c r="G348" s="40">
        <v>21650</v>
      </c>
      <c r="H348" s="35">
        <v>0</v>
      </c>
      <c r="I348" s="35">
        <f t="shared" si="11"/>
        <v>21650</v>
      </c>
      <c r="J348" s="36">
        <f t="shared" si="12"/>
        <v>0</v>
      </c>
      <c r="K348" s="48" t="s">
        <v>85</v>
      </c>
      <c r="L348" s="48" t="s">
        <v>85</v>
      </c>
      <c r="M348" s="52">
        <v>42004</v>
      </c>
      <c r="N348" s="48"/>
      <c r="O348" s="35">
        <v>21650</v>
      </c>
      <c r="P348" s="35"/>
      <c r="Q348" s="35"/>
      <c r="R348" s="35"/>
      <c r="S348" s="41"/>
    </row>
    <row r="349" spans="1:19" s="15" customFormat="1" ht="26.25" customHeight="1" x14ac:dyDescent="0.2">
      <c r="A349" s="43" t="s">
        <v>624</v>
      </c>
      <c r="B349" s="46" t="s">
        <v>125</v>
      </c>
      <c r="C349" s="44" t="s">
        <v>630</v>
      </c>
      <c r="D349" s="47">
        <v>7541</v>
      </c>
      <c r="E349" s="46" t="s">
        <v>633</v>
      </c>
      <c r="F349" s="35">
        <v>7060</v>
      </c>
      <c r="G349" s="40">
        <v>7060</v>
      </c>
      <c r="H349" s="35">
        <v>0</v>
      </c>
      <c r="I349" s="35">
        <f t="shared" si="11"/>
        <v>7060</v>
      </c>
      <c r="J349" s="36">
        <f t="shared" si="12"/>
        <v>0</v>
      </c>
      <c r="K349" s="48" t="s">
        <v>83</v>
      </c>
      <c r="L349" s="48" t="s">
        <v>83</v>
      </c>
      <c r="M349" s="52">
        <v>41670</v>
      </c>
      <c r="N349" s="48"/>
      <c r="O349" s="35">
        <v>7060</v>
      </c>
      <c r="P349" s="35"/>
      <c r="Q349" s="35"/>
      <c r="R349" s="35"/>
      <c r="S349" s="41"/>
    </row>
    <row r="350" spans="1:19" s="15" customFormat="1" ht="26.25" customHeight="1" x14ac:dyDescent="0.2">
      <c r="A350" s="43" t="s">
        <v>678</v>
      </c>
      <c r="B350" s="46" t="s">
        <v>125</v>
      </c>
      <c r="C350" s="44" t="s">
        <v>706</v>
      </c>
      <c r="D350" s="47">
        <v>7793</v>
      </c>
      <c r="E350" s="46" t="s">
        <v>694</v>
      </c>
      <c r="F350" s="35">
        <f>5997*3</f>
        <v>17991</v>
      </c>
      <c r="G350" s="40">
        <f>5997*3</f>
        <v>17991</v>
      </c>
      <c r="H350" s="35">
        <v>0</v>
      </c>
      <c r="I350" s="35">
        <f t="shared" si="11"/>
        <v>17991</v>
      </c>
      <c r="J350" s="36">
        <f t="shared" si="12"/>
        <v>0</v>
      </c>
      <c r="K350" s="48" t="s">
        <v>83</v>
      </c>
      <c r="L350" s="48" t="s">
        <v>83</v>
      </c>
      <c r="M350" s="38">
        <v>42035</v>
      </c>
      <c r="N350" s="48" t="s">
        <v>84</v>
      </c>
      <c r="O350" s="35">
        <v>5997</v>
      </c>
      <c r="P350" s="35">
        <v>5997</v>
      </c>
      <c r="Q350" s="35">
        <v>5997</v>
      </c>
      <c r="R350" s="35"/>
      <c r="S350" s="41"/>
    </row>
    <row r="351" spans="1:19" s="15" customFormat="1" ht="26.25" customHeight="1" x14ac:dyDescent="0.2">
      <c r="A351" s="43" t="s">
        <v>769</v>
      </c>
      <c r="B351" s="46" t="s">
        <v>125</v>
      </c>
      <c r="C351" s="44" t="s">
        <v>629</v>
      </c>
      <c r="D351" s="47">
        <v>7893</v>
      </c>
      <c r="E351" s="46" t="s">
        <v>779</v>
      </c>
      <c r="F351" s="35">
        <v>13583</v>
      </c>
      <c r="G351" s="40">
        <v>13583</v>
      </c>
      <c r="H351" s="35">
        <v>0</v>
      </c>
      <c r="I351" s="35">
        <f t="shared" si="11"/>
        <v>13583</v>
      </c>
      <c r="J351" s="36">
        <f t="shared" si="12"/>
        <v>0</v>
      </c>
      <c r="K351" s="48" t="s">
        <v>85</v>
      </c>
      <c r="L351" s="48" t="s">
        <v>85</v>
      </c>
      <c r="M351" s="38">
        <v>42004</v>
      </c>
      <c r="N351" s="48"/>
      <c r="O351" s="35">
        <v>13583</v>
      </c>
      <c r="P351" s="35"/>
      <c r="Q351" s="35"/>
      <c r="R351" s="35"/>
      <c r="S351" s="41"/>
    </row>
    <row r="352" spans="1:19" s="15" customFormat="1" ht="26.25" customHeight="1" x14ac:dyDescent="0.2">
      <c r="A352" s="43" t="s">
        <v>459</v>
      </c>
      <c r="B352" s="46" t="s">
        <v>465</v>
      </c>
      <c r="C352" s="44" t="s">
        <v>470</v>
      </c>
      <c r="D352" s="47" t="s">
        <v>474</v>
      </c>
      <c r="E352" s="46" t="s">
        <v>463</v>
      </c>
      <c r="F352" s="35">
        <f>20000*2</f>
        <v>40000</v>
      </c>
      <c r="G352" s="40">
        <v>15000</v>
      </c>
      <c r="H352" s="35">
        <f>20000*2</f>
        <v>40000</v>
      </c>
      <c r="I352" s="35">
        <f t="shared" si="11"/>
        <v>55000</v>
      </c>
      <c r="J352" s="36">
        <f t="shared" si="12"/>
        <v>2.6666666666666665</v>
      </c>
      <c r="K352" s="48" t="s">
        <v>83</v>
      </c>
      <c r="L352" s="48" t="s">
        <v>83</v>
      </c>
      <c r="M352" s="38">
        <v>41820</v>
      </c>
      <c r="N352" s="48" t="s">
        <v>86</v>
      </c>
      <c r="O352" s="35">
        <v>20000</v>
      </c>
      <c r="P352" s="35">
        <v>20000</v>
      </c>
      <c r="Q352" s="35"/>
      <c r="R352" s="35"/>
      <c r="S352" s="41"/>
    </row>
    <row r="353" spans="1:19" s="15" customFormat="1" ht="26.25" customHeight="1" x14ac:dyDescent="0.2">
      <c r="A353" s="43" t="s">
        <v>192</v>
      </c>
      <c r="B353" s="46" t="s">
        <v>198</v>
      </c>
      <c r="C353" s="44" t="s">
        <v>206</v>
      </c>
      <c r="D353" s="47" t="s">
        <v>215</v>
      </c>
      <c r="E353" s="46" t="s">
        <v>220</v>
      </c>
      <c r="F353" s="35">
        <f>40000+40000</f>
        <v>80000</v>
      </c>
      <c r="G353" s="40">
        <v>40000</v>
      </c>
      <c r="H353" s="35">
        <f>40000+40000</f>
        <v>80000</v>
      </c>
      <c r="I353" s="35">
        <f t="shared" si="11"/>
        <v>120000</v>
      </c>
      <c r="J353" s="36">
        <f t="shared" si="12"/>
        <v>2</v>
      </c>
      <c r="K353" s="48" t="s">
        <v>83</v>
      </c>
      <c r="L353" s="48" t="s">
        <v>83</v>
      </c>
      <c r="M353" s="38">
        <v>41820</v>
      </c>
      <c r="N353" s="48" t="s">
        <v>86</v>
      </c>
      <c r="O353" s="35">
        <v>40000</v>
      </c>
      <c r="P353" s="35">
        <v>40000</v>
      </c>
      <c r="Q353" s="35"/>
      <c r="R353" s="35"/>
      <c r="S353" s="41"/>
    </row>
    <row r="354" spans="1:19" s="15" customFormat="1" ht="26.25" customHeight="1" x14ac:dyDescent="0.2">
      <c r="A354" s="43" t="s">
        <v>226</v>
      </c>
      <c r="B354" s="46" t="s">
        <v>198</v>
      </c>
      <c r="C354" s="44" t="s">
        <v>231</v>
      </c>
      <c r="D354" s="34">
        <v>6882</v>
      </c>
      <c r="E354" s="46" t="s">
        <v>240</v>
      </c>
      <c r="F354" s="35">
        <f>33565*3</f>
        <v>100695</v>
      </c>
      <c r="G354" s="40">
        <f>33565*3</f>
        <v>100695</v>
      </c>
      <c r="H354" s="35">
        <v>0</v>
      </c>
      <c r="I354" s="35">
        <f t="shared" si="11"/>
        <v>100695</v>
      </c>
      <c r="J354" s="36">
        <f t="shared" si="12"/>
        <v>0</v>
      </c>
      <c r="K354" s="48" t="s">
        <v>83</v>
      </c>
      <c r="L354" s="48" t="s">
        <v>83</v>
      </c>
      <c r="M354" s="38">
        <v>41820</v>
      </c>
      <c r="N354" s="48" t="s">
        <v>84</v>
      </c>
      <c r="O354" s="35">
        <v>33565</v>
      </c>
      <c r="P354" s="35">
        <v>33565</v>
      </c>
      <c r="Q354" s="35">
        <v>33565</v>
      </c>
      <c r="R354" s="35"/>
      <c r="S354" s="41"/>
    </row>
    <row r="355" spans="1:19" s="15" customFormat="1" ht="26.25" customHeight="1" x14ac:dyDescent="0.2">
      <c r="A355" s="43" t="s">
        <v>404</v>
      </c>
      <c r="B355" s="46" t="s">
        <v>405</v>
      </c>
      <c r="C355" s="44" t="s">
        <v>409</v>
      </c>
      <c r="D355" s="34">
        <v>7119</v>
      </c>
      <c r="E355" s="46" t="s">
        <v>399</v>
      </c>
      <c r="F355" s="35">
        <v>32209</v>
      </c>
      <c r="G355" s="40">
        <v>47869</v>
      </c>
      <c r="H355" s="35">
        <f>4800+32209</f>
        <v>37009</v>
      </c>
      <c r="I355" s="35">
        <f t="shared" si="11"/>
        <v>84878</v>
      </c>
      <c r="J355" s="36">
        <f t="shared" si="12"/>
        <v>0.77313083624057322</v>
      </c>
      <c r="K355" s="48" t="s">
        <v>83</v>
      </c>
      <c r="L355" s="48" t="s">
        <v>85</v>
      </c>
      <c r="M355" s="38">
        <v>41943</v>
      </c>
      <c r="N355" s="48" t="s">
        <v>86</v>
      </c>
      <c r="O355" s="35">
        <v>32209</v>
      </c>
      <c r="P355" s="35"/>
      <c r="Q355" s="35"/>
      <c r="R355" s="35"/>
      <c r="S355" s="41"/>
    </row>
    <row r="356" spans="1:19" s="15" customFormat="1" ht="26.25" customHeight="1" x14ac:dyDescent="0.2">
      <c r="A356" s="43" t="s">
        <v>900</v>
      </c>
      <c r="B356" s="46" t="s">
        <v>904</v>
      </c>
      <c r="C356" s="44" t="s">
        <v>908</v>
      </c>
      <c r="D356" s="47" t="s">
        <v>912</v>
      </c>
      <c r="E356" s="46" t="s">
        <v>916</v>
      </c>
      <c r="F356" s="35">
        <v>7500</v>
      </c>
      <c r="G356" s="35">
        <v>15000</v>
      </c>
      <c r="H356" s="35">
        <f>10000+7500</f>
        <v>17500</v>
      </c>
      <c r="I356" s="35">
        <f t="shared" si="11"/>
        <v>32500</v>
      </c>
      <c r="J356" s="36">
        <f t="shared" si="12"/>
        <v>1.1666666666666667</v>
      </c>
      <c r="K356" s="48" t="s">
        <v>83</v>
      </c>
      <c r="L356" s="48" t="s">
        <v>83</v>
      </c>
      <c r="M356" s="38">
        <v>41820</v>
      </c>
      <c r="N356" s="48" t="s">
        <v>86</v>
      </c>
      <c r="O356" s="35">
        <v>7500</v>
      </c>
      <c r="P356" s="35"/>
      <c r="Q356" s="35"/>
      <c r="R356" s="35"/>
      <c r="S356" s="41"/>
    </row>
    <row r="357" spans="1:19" s="15" customFormat="1" ht="26.25" customHeight="1" x14ac:dyDescent="0.2">
      <c r="A357" s="43" t="s">
        <v>18</v>
      </c>
      <c r="B357" s="46" t="s">
        <v>36</v>
      </c>
      <c r="C357" s="45" t="s">
        <v>49</v>
      </c>
      <c r="D357" s="39">
        <v>6105</v>
      </c>
      <c r="E357" s="46" t="s">
        <v>67</v>
      </c>
      <c r="F357" s="35">
        <f>5038*3</f>
        <v>15114</v>
      </c>
      <c r="G357" s="40">
        <f>5038*3</f>
        <v>15114</v>
      </c>
      <c r="H357" s="35">
        <v>0</v>
      </c>
      <c r="I357" s="49">
        <f t="shared" si="11"/>
        <v>15114</v>
      </c>
      <c r="J357" s="51">
        <f t="shared" si="12"/>
        <v>0</v>
      </c>
      <c r="K357" s="48" t="s">
        <v>83</v>
      </c>
      <c r="L357" s="48" t="s">
        <v>83</v>
      </c>
      <c r="M357" s="38">
        <v>41820</v>
      </c>
      <c r="N357" s="48" t="s">
        <v>84</v>
      </c>
      <c r="O357" s="41">
        <v>5038</v>
      </c>
      <c r="P357" s="41">
        <v>5038</v>
      </c>
      <c r="Q357" s="41">
        <v>5038</v>
      </c>
      <c r="R357" s="41"/>
      <c r="S357" s="41"/>
    </row>
    <row r="358" spans="1:19" s="15" customFormat="1" ht="18" customHeight="1" x14ac:dyDescent="0.2">
      <c r="A358" s="43" t="s">
        <v>363</v>
      </c>
      <c r="B358" s="46" t="s">
        <v>367</v>
      </c>
      <c r="C358" s="45"/>
      <c r="D358" s="39"/>
      <c r="E358" s="46"/>
      <c r="F358" s="35"/>
      <c r="G358" s="40"/>
      <c r="H358" s="35"/>
      <c r="I358" s="49"/>
      <c r="J358" s="51"/>
      <c r="K358" s="48"/>
      <c r="L358" s="48"/>
      <c r="M358" s="38"/>
      <c r="N358" s="48"/>
      <c r="O358" s="41"/>
      <c r="P358" s="41"/>
      <c r="Q358" s="41"/>
      <c r="R358" s="41"/>
      <c r="S358" s="41"/>
    </row>
    <row r="359" spans="1:19" s="15" customFormat="1" ht="18" customHeight="1" x14ac:dyDescent="0.2">
      <c r="A359" s="43" t="s">
        <v>802</v>
      </c>
      <c r="B359" s="46" t="s">
        <v>367</v>
      </c>
      <c r="C359" s="45"/>
      <c r="D359" s="39"/>
      <c r="E359" s="46"/>
      <c r="F359" s="35"/>
      <c r="G359" s="40"/>
      <c r="H359" s="35"/>
      <c r="I359" s="49"/>
      <c r="J359" s="51"/>
      <c r="K359" s="48"/>
      <c r="L359" s="48"/>
      <c r="M359" s="38"/>
      <c r="N359" s="48"/>
      <c r="O359" s="41"/>
      <c r="P359" s="41"/>
      <c r="Q359" s="41"/>
      <c r="R359" s="41"/>
      <c r="S359" s="41"/>
    </row>
    <row r="360" spans="1:19" s="15" customFormat="1" ht="26.25" customHeight="1" x14ac:dyDescent="0.2">
      <c r="A360" s="43"/>
      <c r="B360" s="46"/>
      <c r="C360" s="44"/>
      <c r="D360" s="34"/>
      <c r="E360" s="46"/>
      <c r="F360" s="35"/>
      <c r="G360" s="40"/>
      <c r="H360" s="35"/>
      <c r="I360" s="35"/>
      <c r="J360" s="36"/>
      <c r="K360" s="37"/>
      <c r="L360" s="37"/>
      <c r="M360" s="38"/>
      <c r="N360" s="37"/>
      <c r="O360" s="35"/>
      <c r="P360" s="35"/>
      <c r="Q360" s="35"/>
      <c r="R360" s="35"/>
      <c r="S360" s="41"/>
    </row>
    <row r="361" spans="1:19" s="20" customFormat="1" ht="26.25" customHeight="1" x14ac:dyDescent="0.2">
      <c r="A361" s="14"/>
      <c r="B361" s="27"/>
      <c r="C361" s="33"/>
      <c r="D361" s="33"/>
      <c r="E361" s="11" t="s">
        <v>4</v>
      </c>
      <c r="F361" s="26">
        <f>SUM(F2:F360)</f>
        <v>18803193</v>
      </c>
      <c r="G361" s="26">
        <f>SUM(G2:G360)</f>
        <v>19279840</v>
      </c>
      <c r="H361" s="26">
        <f>SUM(H2:H360)</f>
        <v>4871492</v>
      </c>
      <c r="I361" s="26">
        <f>SUM(I2:I360)</f>
        <v>24151332</v>
      </c>
      <c r="J361" s="16"/>
      <c r="K361" s="17"/>
      <c r="L361" s="17"/>
      <c r="M361" s="18"/>
      <c r="N361" s="17"/>
      <c r="O361" s="26">
        <f>SUM(O2:O360)</f>
        <v>11993363</v>
      </c>
      <c r="P361" s="26">
        <f>SUM(P2:P360)</f>
        <v>3512310</v>
      </c>
      <c r="Q361" s="26">
        <f>SUM(Q2:Q360)</f>
        <v>2888790</v>
      </c>
      <c r="R361" s="26">
        <f>SUM(R2:R360)</f>
        <v>383730</v>
      </c>
      <c r="S361" s="26">
        <f>SUM(S2:S360)</f>
        <v>25000</v>
      </c>
    </row>
    <row r="362" spans="1:19" s="20" customFormat="1" ht="26.25" customHeight="1" x14ac:dyDescent="0.2">
      <c r="A362" s="21"/>
      <c r="B362" s="22"/>
      <c r="C362" s="23"/>
      <c r="D362" s="23"/>
      <c r="E362" s="22"/>
      <c r="F362" s="19"/>
      <c r="G362" s="19"/>
      <c r="H362" s="19"/>
      <c r="J362" s="24"/>
      <c r="K362" s="25"/>
      <c r="L362" s="25"/>
      <c r="N362" s="25"/>
    </row>
    <row r="363" spans="1:19" ht="26.25" customHeight="1" x14ac:dyDescent="0.2">
      <c r="A363" s="30"/>
      <c r="B363" s="31"/>
      <c r="C363" s="4"/>
      <c r="F363" s="19"/>
      <c r="G363" s="19"/>
      <c r="H363" s="19"/>
      <c r="I363" s="20"/>
      <c r="P363" s="28"/>
    </row>
    <row r="364" spans="1:19" x14ac:dyDescent="0.2">
      <c r="C364" s="4"/>
    </row>
    <row r="365" spans="1:19" x14ac:dyDescent="0.2">
      <c r="C365" s="4"/>
      <c r="P365" s="28"/>
    </row>
    <row r="366" spans="1:19" x14ac:dyDescent="0.2">
      <c r="C366" s="4"/>
    </row>
    <row r="367" spans="1:19" x14ac:dyDescent="0.2">
      <c r="C367" s="4"/>
      <c r="G367" s="32"/>
      <c r="P367" s="29"/>
    </row>
    <row r="368" spans="1:19" x14ac:dyDescent="0.2">
      <c r="C368" s="4"/>
    </row>
    <row r="369" spans="1:19" s="4" customFormat="1" x14ac:dyDescent="0.2">
      <c r="A369" s="12"/>
      <c r="B369" s="2"/>
      <c r="E369" s="2"/>
      <c r="F369" s="3"/>
      <c r="G369" s="3"/>
      <c r="H369" s="3"/>
      <c r="I369"/>
      <c r="J369" s="5"/>
      <c r="K369" s="1"/>
      <c r="L369" s="1"/>
      <c r="M369"/>
      <c r="N369" s="1"/>
      <c r="O369"/>
      <c r="P369"/>
      <c r="Q369"/>
      <c r="R369"/>
      <c r="S369"/>
    </row>
    <row r="370" spans="1:19" s="4" customFormat="1" x14ac:dyDescent="0.2">
      <c r="A370" s="12"/>
      <c r="B370" s="2"/>
      <c r="E370" s="2"/>
      <c r="F370" s="3"/>
      <c r="G370" s="3"/>
      <c r="H370" s="3"/>
      <c r="I370"/>
      <c r="J370" s="5"/>
      <c r="K370" s="1"/>
      <c r="L370" s="1"/>
      <c r="M370"/>
      <c r="N370" s="1"/>
      <c r="O370"/>
      <c r="P370"/>
      <c r="Q370"/>
      <c r="R370"/>
      <c r="S370"/>
    </row>
    <row r="371" spans="1:19" s="4" customFormat="1" x14ac:dyDescent="0.2">
      <c r="A371" s="12"/>
      <c r="B371" s="2"/>
      <c r="E371" s="2"/>
      <c r="F371" s="3"/>
      <c r="G371" s="3"/>
      <c r="H371" s="3"/>
      <c r="I371"/>
      <c r="J371" s="5"/>
      <c r="K371" s="1"/>
      <c r="L371" s="1"/>
      <c r="M371"/>
      <c r="N371" s="1"/>
      <c r="O371"/>
      <c r="P371"/>
      <c r="Q371"/>
      <c r="R371"/>
      <c r="S371"/>
    </row>
    <row r="372" spans="1:19" s="4" customFormat="1" x14ac:dyDescent="0.2">
      <c r="A372" s="12"/>
      <c r="B372" s="2"/>
      <c r="E372" s="2"/>
      <c r="F372" s="3"/>
      <c r="G372" s="3"/>
      <c r="H372" s="3"/>
      <c r="I372"/>
      <c r="J372" s="5"/>
      <c r="K372" s="1"/>
      <c r="L372" s="1"/>
      <c r="M372"/>
      <c r="N372" s="1"/>
      <c r="O372"/>
      <c r="P372"/>
      <c r="Q372"/>
      <c r="R372"/>
      <c r="S372"/>
    </row>
    <row r="373" spans="1:19" s="4" customFormat="1" x14ac:dyDescent="0.2">
      <c r="A373" s="12"/>
      <c r="B373" s="2"/>
      <c r="E373" s="2"/>
      <c r="F373" s="3"/>
      <c r="G373" s="3"/>
      <c r="H373" s="3"/>
      <c r="I373"/>
      <c r="J373" s="5"/>
      <c r="K373" s="1"/>
      <c r="L373" s="1"/>
      <c r="M373"/>
      <c r="N373" s="1"/>
      <c r="O373"/>
      <c r="P373"/>
      <c r="Q373"/>
      <c r="R373"/>
      <c r="S373"/>
    </row>
    <row r="374" spans="1:19" s="4" customFormat="1" x14ac:dyDescent="0.2">
      <c r="A374" s="12"/>
      <c r="B374" s="2"/>
      <c r="E374" s="2"/>
      <c r="F374" s="3"/>
      <c r="G374" s="3"/>
      <c r="H374" s="3"/>
      <c r="I374"/>
      <c r="J374" s="5"/>
      <c r="K374" s="1"/>
      <c r="L374" s="1"/>
      <c r="M374"/>
      <c r="N374" s="1"/>
      <c r="O374"/>
      <c r="P374"/>
      <c r="Q374"/>
      <c r="R374"/>
      <c r="S374"/>
    </row>
    <row r="375" spans="1:19" s="4" customFormat="1" x14ac:dyDescent="0.2">
      <c r="A375" s="12"/>
      <c r="B375" s="2"/>
      <c r="E375" s="2"/>
      <c r="F375" s="3"/>
      <c r="G375" s="3"/>
      <c r="H375" s="3"/>
      <c r="I375"/>
      <c r="J375" s="5"/>
      <c r="K375" s="1"/>
      <c r="L375" s="1"/>
      <c r="M375"/>
      <c r="N375" s="1"/>
      <c r="O375"/>
      <c r="P375"/>
      <c r="Q375"/>
      <c r="R375"/>
      <c r="S375"/>
    </row>
    <row r="376" spans="1:19" s="4" customFormat="1" x14ac:dyDescent="0.2">
      <c r="A376" s="12"/>
      <c r="B376" s="2"/>
      <c r="E376" s="2"/>
      <c r="F376" s="3"/>
      <c r="G376" s="3"/>
      <c r="H376" s="3"/>
      <c r="I376"/>
      <c r="J376" s="5"/>
      <c r="K376" s="1"/>
      <c r="L376" s="1"/>
      <c r="M376"/>
      <c r="N376" s="1"/>
      <c r="O376"/>
      <c r="P376"/>
      <c r="Q376"/>
      <c r="R376"/>
      <c r="S376"/>
    </row>
    <row r="377" spans="1:19" s="4" customFormat="1" x14ac:dyDescent="0.2">
      <c r="A377" s="12"/>
      <c r="B377" s="2"/>
      <c r="E377" s="2"/>
      <c r="F377" s="3"/>
      <c r="G377" s="3"/>
      <c r="H377" s="3"/>
      <c r="I377"/>
      <c r="J377" s="5"/>
      <c r="K377" s="1"/>
      <c r="L377" s="1"/>
      <c r="M377"/>
      <c r="N377" s="1"/>
      <c r="O377"/>
      <c r="P377"/>
      <c r="Q377"/>
      <c r="R377"/>
      <c r="S377"/>
    </row>
    <row r="378" spans="1:19" s="4" customFormat="1" x14ac:dyDescent="0.2">
      <c r="A378" s="12"/>
      <c r="B378" s="2"/>
      <c r="E378" s="2"/>
      <c r="F378" s="3"/>
      <c r="G378" s="3"/>
      <c r="H378" s="3"/>
      <c r="I378"/>
      <c r="J378" s="5"/>
      <c r="K378" s="1"/>
      <c r="L378" s="1"/>
      <c r="M378"/>
      <c r="N378" s="1"/>
      <c r="O378"/>
      <c r="P378"/>
      <c r="Q378"/>
      <c r="R378"/>
      <c r="S378"/>
    </row>
    <row r="379" spans="1:19" s="4" customFormat="1" x14ac:dyDescent="0.2">
      <c r="A379" s="12"/>
      <c r="B379" s="2"/>
      <c r="E379" s="2"/>
      <c r="F379" s="3"/>
      <c r="G379" s="3"/>
      <c r="H379" s="3"/>
      <c r="I379"/>
      <c r="J379" s="5"/>
      <c r="K379" s="1"/>
      <c r="L379" s="1"/>
      <c r="M379"/>
      <c r="N379" s="1"/>
      <c r="O379"/>
      <c r="P379"/>
      <c r="Q379"/>
      <c r="R379"/>
      <c r="S379"/>
    </row>
    <row r="380" spans="1:19" s="4" customFormat="1" x14ac:dyDescent="0.2">
      <c r="A380" s="12"/>
      <c r="B380" s="2"/>
      <c r="E380" s="2"/>
      <c r="F380" s="3"/>
      <c r="G380" s="3"/>
      <c r="H380" s="3"/>
      <c r="I380"/>
      <c r="J380" s="5"/>
      <c r="K380" s="1"/>
      <c r="L380" s="1"/>
      <c r="M380"/>
      <c r="N380" s="1"/>
      <c r="O380"/>
      <c r="P380"/>
      <c r="Q380"/>
      <c r="R380"/>
      <c r="S380"/>
    </row>
    <row r="381" spans="1:19" s="4" customFormat="1" x14ac:dyDescent="0.2">
      <c r="A381" s="12"/>
      <c r="B381" s="2"/>
      <c r="E381" s="2"/>
      <c r="F381" s="3"/>
      <c r="G381" s="3"/>
      <c r="H381" s="3"/>
      <c r="I381"/>
      <c r="J381" s="5"/>
      <c r="K381" s="1"/>
      <c r="L381" s="1"/>
      <c r="M381"/>
      <c r="N381" s="1"/>
      <c r="O381"/>
      <c r="P381"/>
      <c r="Q381"/>
      <c r="R381"/>
      <c r="S381"/>
    </row>
    <row r="382" spans="1:19" s="4" customFormat="1" x14ac:dyDescent="0.2">
      <c r="A382" s="12"/>
      <c r="B382" s="2"/>
      <c r="E382" s="2"/>
      <c r="F382" s="3"/>
      <c r="G382" s="3"/>
      <c r="H382" s="3"/>
      <c r="I382"/>
      <c r="J382" s="5"/>
      <c r="K382" s="1"/>
      <c r="L382" s="1"/>
      <c r="M382"/>
      <c r="N382" s="1"/>
      <c r="O382"/>
      <c r="P382"/>
      <c r="Q382"/>
      <c r="R382"/>
      <c r="S382"/>
    </row>
    <row r="383" spans="1:19" s="4" customFormat="1" x14ac:dyDescent="0.2">
      <c r="A383" s="12"/>
      <c r="B383" s="2"/>
      <c r="E383" s="2"/>
      <c r="F383" s="3"/>
      <c r="G383" s="3"/>
      <c r="H383" s="3"/>
      <c r="I383"/>
      <c r="J383" s="5"/>
      <c r="K383" s="1"/>
      <c r="L383" s="1"/>
      <c r="M383"/>
      <c r="N383" s="1"/>
      <c r="O383"/>
      <c r="P383"/>
      <c r="Q383"/>
      <c r="R383"/>
      <c r="S383"/>
    </row>
    <row r="384" spans="1:19" s="4" customFormat="1" x14ac:dyDescent="0.2">
      <c r="A384" s="12"/>
      <c r="B384" s="2"/>
      <c r="E384" s="2"/>
      <c r="F384" s="3"/>
      <c r="G384" s="3"/>
      <c r="H384" s="3"/>
      <c r="I384"/>
      <c r="J384" s="5"/>
      <c r="K384" s="1"/>
      <c r="L384" s="1"/>
      <c r="M384"/>
      <c r="N384" s="1"/>
      <c r="O384"/>
      <c r="P384"/>
      <c r="Q384"/>
      <c r="R384"/>
      <c r="S384"/>
    </row>
    <row r="385" spans="1:19" s="4" customFormat="1" x14ac:dyDescent="0.2">
      <c r="A385" s="12"/>
      <c r="B385" s="2"/>
      <c r="E385" s="2"/>
      <c r="F385" s="3"/>
      <c r="G385" s="3"/>
      <c r="H385" s="3"/>
      <c r="I385"/>
      <c r="J385" s="5"/>
      <c r="K385" s="1"/>
      <c r="L385" s="1"/>
      <c r="M385"/>
      <c r="N385" s="1"/>
      <c r="O385"/>
      <c r="P385"/>
      <c r="Q385"/>
      <c r="R385"/>
      <c r="S385"/>
    </row>
    <row r="386" spans="1:19" s="4" customFormat="1" x14ac:dyDescent="0.2">
      <c r="A386" s="12"/>
      <c r="B386" s="2"/>
      <c r="E386" s="2"/>
      <c r="F386" s="3"/>
      <c r="G386" s="3"/>
      <c r="H386" s="3"/>
      <c r="I386"/>
      <c r="J386" s="5"/>
      <c r="K386" s="1"/>
      <c r="L386" s="1"/>
      <c r="M386"/>
      <c r="N386" s="1"/>
      <c r="O386"/>
      <c r="P386"/>
      <c r="Q386"/>
      <c r="R386"/>
      <c r="S386"/>
    </row>
    <row r="387" spans="1:19" s="4" customFormat="1" x14ac:dyDescent="0.2">
      <c r="A387" s="12"/>
      <c r="B387" s="2"/>
      <c r="E387" s="2"/>
      <c r="F387" s="3"/>
      <c r="G387" s="3"/>
      <c r="H387" s="3"/>
      <c r="I387"/>
      <c r="J387" s="5"/>
      <c r="K387" s="1"/>
      <c r="L387" s="1"/>
      <c r="M387"/>
      <c r="N387" s="1"/>
      <c r="O387"/>
      <c r="P387"/>
      <c r="Q387"/>
      <c r="R387"/>
      <c r="S387"/>
    </row>
    <row r="388" spans="1:19" s="4" customFormat="1" x14ac:dyDescent="0.2">
      <c r="A388" s="12"/>
      <c r="B388" s="2"/>
      <c r="E388" s="2"/>
      <c r="F388" s="3"/>
      <c r="G388" s="3"/>
      <c r="H388" s="3"/>
      <c r="I388"/>
      <c r="J388" s="5"/>
      <c r="K388" s="1"/>
      <c r="L388" s="1"/>
      <c r="M388"/>
      <c r="N388" s="1"/>
      <c r="O388"/>
      <c r="P388"/>
      <c r="Q388"/>
      <c r="R388"/>
      <c r="S388"/>
    </row>
    <row r="389" spans="1:19" s="4" customFormat="1" x14ac:dyDescent="0.2">
      <c r="A389" s="12"/>
      <c r="B389" s="2"/>
      <c r="E389" s="2"/>
      <c r="F389" s="3"/>
      <c r="G389" s="3"/>
      <c r="H389" s="3"/>
      <c r="I389"/>
      <c r="J389" s="5"/>
      <c r="K389" s="1"/>
      <c r="L389" s="1"/>
      <c r="M389"/>
      <c r="N389" s="1"/>
      <c r="O389"/>
      <c r="P389"/>
      <c r="Q389"/>
      <c r="R389"/>
      <c r="S389"/>
    </row>
    <row r="390" spans="1:19" s="4" customFormat="1" x14ac:dyDescent="0.2">
      <c r="A390" s="12"/>
      <c r="B390" s="2"/>
      <c r="E390" s="2"/>
      <c r="F390" s="3"/>
      <c r="G390" s="3"/>
      <c r="H390" s="3"/>
      <c r="I390"/>
      <c r="J390" s="5"/>
      <c r="K390" s="1"/>
      <c r="L390" s="1"/>
      <c r="M390"/>
      <c r="N390" s="1"/>
      <c r="O390"/>
      <c r="P390"/>
      <c r="Q390"/>
      <c r="R390"/>
      <c r="S390"/>
    </row>
    <row r="391" spans="1:19" s="4" customFormat="1" x14ac:dyDescent="0.2">
      <c r="A391" s="12"/>
      <c r="B391" s="2"/>
      <c r="E391" s="2"/>
      <c r="F391" s="3"/>
      <c r="G391" s="3"/>
      <c r="H391" s="3"/>
      <c r="I391"/>
      <c r="J391" s="5"/>
      <c r="K391" s="1"/>
      <c r="L391" s="1"/>
      <c r="M391"/>
      <c r="N391" s="1"/>
      <c r="O391"/>
      <c r="P391"/>
      <c r="Q391"/>
      <c r="R391"/>
      <c r="S391"/>
    </row>
    <row r="392" spans="1:19" s="4" customFormat="1" x14ac:dyDescent="0.2">
      <c r="A392" s="12"/>
      <c r="B392" s="2"/>
      <c r="E392" s="2"/>
      <c r="F392" s="3"/>
      <c r="G392" s="3"/>
      <c r="H392" s="3"/>
      <c r="I392"/>
      <c r="J392" s="5"/>
      <c r="K392" s="1"/>
      <c r="L392" s="1"/>
      <c r="M392"/>
      <c r="N392" s="1"/>
      <c r="O392"/>
      <c r="P392"/>
      <c r="Q392"/>
      <c r="R392"/>
      <c r="S392"/>
    </row>
    <row r="393" spans="1:19" s="4" customFormat="1" x14ac:dyDescent="0.2">
      <c r="A393" s="12"/>
      <c r="B393" s="2"/>
      <c r="E393" s="2"/>
      <c r="F393" s="3"/>
      <c r="G393" s="3"/>
      <c r="H393" s="3"/>
      <c r="I393"/>
      <c r="J393" s="5"/>
      <c r="K393" s="1"/>
      <c r="L393" s="1"/>
      <c r="M393"/>
      <c r="N393" s="1"/>
      <c r="O393"/>
      <c r="P393"/>
      <c r="Q393"/>
      <c r="R393"/>
      <c r="S393"/>
    </row>
    <row r="394" spans="1:19" s="4" customFormat="1" x14ac:dyDescent="0.2">
      <c r="A394" s="12"/>
      <c r="B394" s="2"/>
      <c r="E394" s="2"/>
      <c r="F394" s="3"/>
      <c r="G394" s="3"/>
      <c r="H394" s="3"/>
      <c r="I394"/>
      <c r="J394" s="5"/>
      <c r="K394" s="1"/>
      <c r="L394" s="1"/>
      <c r="M394"/>
      <c r="N394" s="1"/>
      <c r="O394"/>
      <c r="P394"/>
      <c r="Q394"/>
      <c r="R394"/>
      <c r="S394"/>
    </row>
    <row r="395" spans="1:19" s="4" customFormat="1" x14ac:dyDescent="0.2">
      <c r="A395" s="12"/>
      <c r="B395" s="2"/>
      <c r="E395" s="2"/>
      <c r="F395" s="3"/>
      <c r="G395" s="3"/>
      <c r="H395" s="3"/>
      <c r="I395"/>
      <c r="J395" s="5"/>
      <c r="K395" s="1"/>
      <c r="L395" s="1"/>
      <c r="M395"/>
      <c r="N395" s="1"/>
      <c r="O395"/>
      <c r="P395"/>
      <c r="Q395"/>
      <c r="R395"/>
      <c r="S395"/>
    </row>
    <row r="396" spans="1:19" s="4" customFormat="1" x14ac:dyDescent="0.2">
      <c r="A396" s="12"/>
      <c r="B396" s="2"/>
      <c r="E396" s="2"/>
      <c r="F396" s="3"/>
      <c r="G396" s="3"/>
      <c r="H396" s="3"/>
      <c r="I396"/>
      <c r="J396" s="5"/>
      <c r="K396" s="1"/>
      <c r="L396" s="1"/>
      <c r="M396"/>
      <c r="N396" s="1"/>
      <c r="O396"/>
      <c r="P396"/>
      <c r="Q396"/>
      <c r="R396"/>
      <c r="S396"/>
    </row>
    <row r="397" spans="1:19" s="4" customFormat="1" x14ac:dyDescent="0.2">
      <c r="A397" s="12"/>
      <c r="B397" s="2"/>
      <c r="E397" s="2"/>
      <c r="F397" s="3"/>
      <c r="G397" s="3"/>
      <c r="H397" s="3"/>
      <c r="I397"/>
      <c r="J397" s="5"/>
      <c r="K397" s="1"/>
      <c r="L397" s="1"/>
      <c r="M397"/>
      <c r="N397" s="1"/>
      <c r="O397"/>
      <c r="P397"/>
      <c r="Q397"/>
      <c r="R397"/>
      <c r="S397"/>
    </row>
    <row r="398" spans="1:19" s="4" customFormat="1" x14ac:dyDescent="0.2">
      <c r="A398" s="12"/>
      <c r="B398" s="2"/>
      <c r="E398" s="2"/>
      <c r="F398" s="3"/>
      <c r="G398" s="3"/>
      <c r="H398" s="3"/>
      <c r="I398"/>
      <c r="J398" s="5"/>
      <c r="K398" s="1"/>
      <c r="L398" s="1"/>
      <c r="M398"/>
      <c r="N398" s="1"/>
      <c r="O398"/>
      <c r="P398"/>
      <c r="Q398"/>
      <c r="R398"/>
      <c r="S398"/>
    </row>
    <row r="399" spans="1:19" s="4" customFormat="1" x14ac:dyDescent="0.2">
      <c r="A399" s="12"/>
      <c r="B399" s="2"/>
      <c r="E399" s="2"/>
      <c r="F399" s="3"/>
      <c r="G399" s="3"/>
      <c r="H399" s="3"/>
      <c r="I399"/>
      <c r="J399" s="5"/>
      <c r="K399" s="1"/>
      <c r="L399" s="1"/>
      <c r="M399"/>
      <c r="N399" s="1"/>
      <c r="O399"/>
      <c r="P399"/>
      <c r="Q399"/>
      <c r="R399"/>
      <c r="S399"/>
    </row>
    <row r="400" spans="1:19" s="4" customFormat="1" x14ac:dyDescent="0.2">
      <c r="A400" s="12"/>
      <c r="B400" s="2"/>
      <c r="E400" s="2"/>
      <c r="F400" s="3"/>
      <c r="G400" s="3"/>
      <c r="H400" s="3"/>
      <c r="I400"/>
      <c r="J400" s="5"/>
      <c r="K400" s="1"/>
      <c r="L400" s="1"/>
      <c r="M400"/>
      <c r="N400" s="1"/>
      <c r="O400"/>
      <c r="P400"/>
      <c r="Q400"/>
      <c r="R400"/>
      <c r="S400"/>
    </row>
    <row r="401" spans="1:19" s="4" customFormat="1" x14ac:dyDescent="0.2">
      <c r="A401" s="12"/>
      <c r="B401" s="2"/>
      <c r="E401" s="2"/>
      <c r="F401" s="3"/>
      <c r="G401" s="3"/>
      <c r="H401" s="3"/>
      <c r="I401"/>
      <c r="J401" s="5"/>
      <c r="K401" s="1"/>
      <c r="L401" s="1"/>
      <c r="M401"/>
      <c r="N401" s="1"/>
      <c r="O401"/>
      <c r="P401"/>
      <c r="Q401"/>
      <c r="R401"/>
      <c r="S401"/>
    </row>
    <row r="402" spans="1:19" s="4" customFormat="1" x14ac:dyDescent="0.2">
      <c r="A402" s="12"/>
      <c r="B402" s="2"/>
      <c r="E402" s="2"/>
      <c r="F402" s="3"/>
      <c r="G402" s="3"/>
      <c r="H402" s="3"/>
      <c r="I402"/>
      <c r="J402" s="5"/>
      <c r="K402" s="1"/>
      <c r="L402" s="1"/>
      <c r="M402"/>
      <c r="N402" s="1"/>
      <c r="O402"/>
      <c r="P402"/>
      <c r="Q402"/>
      <c r="R402"/>
      <c r="S402"/>
    </row>
    <row r="403" spans="1:19" s="4" customFormat="1" x14ac:dyDescent="0.2">
      <c r="A403" s="12"/>
      <c r="B403" s="2"/>
      <c r="E403" s="2"/>
      <c r="F403" s="3"/>
      <c r="G403" s="3"/>
      <c r="H403" s="3"/>
      <c r="I403"/>
      <c r="J403" s="5"/>
      <c r="K403" s="1"/>
      <c r="L403" s="1"/>
      <c r="M403"/>
      <c r="N403" s="1"/>
      <c r="O403"/>
      <c r="P403"/>
      <c r="Q403"/>
      <c r="R403"/>
      <c r="S403"/>
    </row>
    <row r="404" spans="1:19" s="4" customFormat="1" x14ac:dyDescent="0.2">
      <c r="A404" s="12"/>
      <c r="B404" s="2"/>
      <c r="E404" s="2"/>
      <c r="F404" s="3"/>
      <c r="G404" s="3"/>
      <c r="H404" s="3"/>
      <c r="I404"/>
      <c r="J404" s="5"/>
      <c r="K404" s="1"/>
      <c r="L404" s="1"/>
      <c r="M404"/>
      <c r="N404" s="1"/>
      <c r="O404"/>
      <c r="P404"/>
      <c r="Q404"/>
      <c r="R404"/>
      <c r="S404"/>
    </row>
    <row r="405" spans="1:19" s="4" customFormat="1" x14ac:dyDescent="0.2">
      <c r="A405" s="12"/>
      <c r="B405" s="2"/>
      <c r="E405" s="2"/>
      <c r="F405" s="3"/>
      <c r="G405" s="3"/>
      <c r="H405" s="3"/>
      <c r="I405"/>
      <c r="J405" s="5"/>
      <c r="K405" s="1"/>
      <c r="L405" s="1"/>
      <c r="M405"/>
      <c r="N405" s="1"/>
      <c r="O405"/>
      <c r="P405"/>
      <c r="Q405"/>
      <c r="R405"/>
      <c r="S405"/>
    </row>
    <row r="406" spans="1:19" s="4" customFormat="1" x14ac:dyDescent="0.2">
      <c r="A406" s="12"/>
      <c r="B406" s="2"/>
      <c r="E406" s="2"/>
      <c r="F406" s="3"/>
      <c r="G406" s="3"/>
      <c r="H406" s="3"/>
      <c r="I406"/>
      <c r="J406" s="5"/>
      <c r="K406" s="1"/>
      <c r="L406" s="1"/>
      <c r="M406"/>
      <c r="N406" s="1"/>
      <c r="O406"/>
      <c r="P406"/>
      <c r="Q406"/>
      <c r="R406"/>
      <c r="S406"/>
    </row>
    <row r="407" spans="1:19" s="4" customFormat="1" x14ac:dyDescent="0.2">
      <c r="A407" s="12"/>
      <c r="B407" s="2"/>
      <c r="E407" s="2"/>
      <c r="F407" s="3"/>
      <c r="G407" s="3"/>
      <c r="H407" s="3"/>
      <c r="I407"/>
      <c r="J407" s="5"/>
      <c r="K407" s="1"/>
      <c r="L407" s="1"/>
      <c r="M407"/>
      <c r="N407" s="1"/>
      <c r="O407"/>
      <c r="P407"/>
      <c r="Q407"/>
      <c r="R407"/>
      <c r="S407"/>
    </row>
    <row r="408" spans="1:19" s="4" customFormat="1" x14ac:dyDescent="0.2">
      <c r="A408" s="12"/>
      <c r="B408" s="2"/>
      <c r="E408" s="2"/>
      <c r="F408" s="3"/>
      <c r="G408" s="3"/>
      <c r="H408" s="3"/>
      <c r="I408"/>
      <c r="J408" s="5"/>
      <c r="K408" s="1"/>
      <c r="L408" s="1"/>
      <c r="M408"/>
      <c r="N408" s="1"/>
      <c r="O408"/>
      <c r="P408"/>
      <c r="Q408"/>
      <c r="R408"/>
      <c r="S408"/>
    </row>
    <row r="409" spans="1:19" s="4" customFormat="1" x14ac:dyDescent="0.2">
      <c r="A409" s="12"/>
      <c r="B409" s="2"/>
      <c r="E409" s="2"/>
      <c r="F409" s="3"/>
      <c r="G409" s="3"/>
      <c r="H409" s="3"/>
      <c r="I409"/>
      <c r="J409" s="5"/>
      <c r="K409" s="1"/>
      <c r="L409" s="1"/>
      <c r="M409"/>
      <c r="N409" s="1"/>
      <c r="O409"/>
      <c r="P409"/>
      <c r="Q409"/>
      <c r="R409"/>
      <c r="S409"/>
    </row>
    <row r="410" spans="1:19" s="4" customFormat="1" x14ac:dyDescent="0.2">
      <c r="A410" s="12"/>
      <c r="B410" s="2"/>
      <c r="E410" s="2"/>
      <c r="F410" s="3"/>
      <c r="G410" s="3"/>
      <c r="H410" s="3"/>
      <c r="I410"/>
      <c r="J410" s="5"/>
      <c r="K410" s="1"/>
      <c r="L410" s="1"/>
      <c r="M410"/>
      <c r="N410" s="1"/>
      <c r="O410"/>
      <c r="P410"/>
      <c r="Q410"/>
      <c r="R410"/>
      <c r="S410"/>
    </row>
    <row r="411" spans="1:19" s="4" customFormat="1" x14ac:dyDescent="0.2">
      <c r="A411" s="12"/>
      <c r="B411" s="2"/>
      <c r="E411" s="2"/>
      <c r="F411" s="3"/>
      <c r="G411" s="3"/>
      <c r="H411" s="3"/>
      <c r="I411"/>
      <c r="J411" s="5"/>
      <c r="K411" s="1"/>
      <c r="L411" s="1"/>
      <c r="M411"/>
      <c r="N411" s="1"/>
      <c r="O411"/>
      <c r="P411"/>
      <c r="Q411"/>
      <c r="R411"/>
      <c r="S411"/>
    </row>
    <row r="412" spans="1:19" s="4" customFormat="1" x14ac:dyDescent="0.2">
      <c r="A412" s="12"/>
      <c r="B412" s="2"/>
      <c r="E412" s="2"/>
      <c r="F412" s="3"/>
      <c r="G412" s="3"/>
      <c r="H412" s="3"/>
      <c r="I412"/>
      <c r="J412" s="5"/>
      <c r="K412" s="1"/>
      <c r="L412" s="1"/>
      <c r="M412"/>
      <c r="N412" s="1"/>
      <c r="O412"/>
      <c r="P412"/>
      <c r="Q412"/>
      <c r="R412"/>
      <c r="S412"/>
    </row>
    <row r="413" spans="1:19" s="4" customFormat="1" x14ac:dyDescent="0.2">
      <c r="A413" s="12"/>
      <c r="B413" s="2"/>
      <c r="E413" s="2"/>
      <c r="F413" s="3"/>
      <c r="G413" s="3"/>
      <c r="H413" s="3"/>
      <c r="I413"/>
      <c r="J413" s="5"/>
      <c r="K413" s="1"/>
      <c r="L413" s="1"/>
      <c r="M413"/>
      <c r="N413" s="1"/>
      <c r="O413"/>
      <c r="P413"/>
      <c r="Q413"/>
      <c r="R413"/>
      <c r="S413"/>
    </row>
    <row r="414" spans="1:19" s="4" customFormat="1" x14ac:dyDescent="0.2">
      <c r="A414" s="12"/>
      <c r="B414" s="2"/>
      <c r="E414" s="2"/>
      <c r="F414" s="3"/>
      <c r="G414" s="3"/>
      <c r="H414" s="3"/>
      <c r="I414"/>
      <c r="J414" s="5"/>
      <c r="K414" s="1"/>
      <c r="L414" s="1"/>
      <c r="M414"/>
      <c r="N414" s="1"/>
      <c r="O414"/>
      <c r="P414"/>
      <c r="Q414"/>
      <c r="R414"/>
      <c r="S414"/>
    </row>
    <row r="415" spans="1:19" s="4" customFormat="1" x14ac:dyDescent="0.2">
      <c r="A415" s="12"/>
      <c r="B415" s="2"/>
      <c r="E415" s="2"/>
      <c r="F415" s="3"/>
      <c r="G415" s="3"/>
      <c r="H415" s="3"/>
      <c r="I415"/>
      <c r="J415" s="5"/>
      <c r="K415" s="1"/>
      <c r="L415" s="1"/>
      <c r="M415"/>
      <c r="N415" s="1"/>
      <c r="O415"/>
      <c r="P415"/>
      <c r="Q415"/>
      <c r="R415"/>
      <c r="S415"/>
    </row>
    <row r="416" spans="1:19" s="4" customFormat="1" x14ac:dyDescent="0.2">
      <c r="A416" s="12"/>
      <c r="B416" s="2"/>
      <c r="E416" s="2"/>
      <c r="F416" s="3"/>
      <c r="G416" s="3"/>
      <c r="H416" s="3"/>
      <c r="I416"/>
      <c r="J416" s="5"/>
      <c r="K416" s="1"/>
      <c r="L416" s="1"/>
      <c r="M416"/>
      <c r="N416" s="1"/>
      <c r="O416"/>
      <c r="P416"/>
      <c r="Q416"/>
      <c r="R416"/>
      <c r="S416"/>
    </row>
    <row r="417" spans="1:19" s="4" customFormat="1" x14ac:dyDescent="0.2">
      <c r="A417" s="12"/>
      <c r="B417" s="2"/>
      <c r="E417" s="2"/>
      <c r="F417" s="3"/>
      <c r="G417" s="3"/>
      <c r="H417" s="3"/>
      <c r="I417"/>
      <c r="J417" s="5"/>
      <c r="K417" s="1"/>
      <c r="L417" s="1"/>
      <c r="M417"/>
      <c r="N417" s="1"/>
      <c r="O417"/>
      <c r="P417"/>
      <c r="Q417"/>
      <c r="R417"/>
      <c r="S417"/>
    </row>
  </sheetData>
  <printOptions horizontalCentered="1"/>
  <pageMargins left="0.25" right="0.25" top="0.85" bottom="0.25" header="0.26" footer="0.31"/>
  <pageSetup paperSize="5" scale="65" orientation="landscape" r:id="rId1"/>
  <headerFooter alignWithMargins="0">
    <oddHeader>&amp;C&amp;"Arial,Bold"&amp;11 1153 FY2014
SUMMARY REPORT
BY DEPARTMENT
As of June 30, 2014&amp;RRun Date: &amp;D      &amp;T     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8.7109375" style="12" customWidth="1"/>
    <col min="2" max="2" width="25.7109375" style="2" customWidth="1"/>
    <col min="3" max="3" width="23.42578125" customWidth="1"/>
    <col min="4" max="4" width="12.7109375" style="4" customWidth="1"/>
    <col min="5" max="5" width="58.42578125" style="2" customWidth="1"/>
    <col min="6" max="8" width="11.7109375" style="3" customWidth="1"/>
    <col min="9" max="9" width="11.5703125" customWidth="1"/>
    <col min="10" max="10" width="10.28515625" style="5" customWidth="1"/>
    <col min="11" max="11" width="6.28515625" style="1" customWidth="1"/>
    <col min="12" max="12" width="6.5703125" style="1" customWidth="1"/>
    <col min="13" max="13" width="10.5703125" customWidth="1"/>
    <col min="14" max="14" width="5.7109375" style="1" customWidth="1"/>
    <col min="15" max="15" width="12.42578125" customWidth="1"/>
    <col min="16" max="16" width="11.85546875" customWidth="1"/>
    <col min="17" max="17" width="11" customWidth="1"/>
    <col min="18" max="18" width="9.140625" customWidth="1"/>
    <col min="19" max="19" width="10.140625" customWidth="1"/>
  </cols>
  <sheetData>
    <row r="1" spans="1:19" ht="24" x14ac:dyDescent="0.2">
      <c r="A1" s="13" t="s">
        <v>0</v>
      </c>
      <c r="B1" s="10" t="s">
        <v>6</v>
      </c>
      <c r="C1" s="10" t="s">
        <v>7</v>
      </c>
      <c r="D1" s="10" t="s">
        <v>13</v>
      </c>
      <c r="E1" s="10" t="s">
        <v>8</v>
      </c>
      <c r="F1" s="6" t="s">
        <v>9</v>
      </c>
      <c r="G1" s="6" t="s">
        <v>10</v>
      </c>
      <c r="H1" s="7" t="s">
        <v>1</v>
      </c>
      <c r="I1" s="8" t="s">
        <v>11</v>
      </c>
      <c r="J1" s="9" t="s">
        <v>2</v>
      </c>
      <c r="K1" s="10" t="s">
        <v>15</v>
      </c>
      <c r="L1" s="10" t="s">
        <v>12</v>
      </c>
      <c r="M1" s="8" t="s">
        <v>3</v>
      </c>
      <c r="N1" s="8" t="s">
        <v>5</v>
      </c>
      <c r="O1" s="8" t="s">
        <v>14</v>
      </c>
      <c r="P1" s="8" t="s">
        <v>16</v>
      </c>
      <c r="Q1" s="8" t="s">
        <v>28</v>
      </c>
      <c r="R1" s="8" t="s">
        <v>1090</v>
      </c>
      <c r="S1" s="8" t="s">
        <v>800</v>
      </c>
    </row>
    <row r="2" spans="1:19" ht="26.25" customHeight="1" x14ac:dyDescent="0.2">
      <c r="A2" s="43" t="s">
        <v>1062</v>
      </c>
      <c r="B2" s="46" t="s">
        <v>124</v>
      </c>
      <c r="C2" s="44" t="s">
        <v>1069</v>
      </c>
      <c r="D2" s="47" t="s">
        <v>65</v>
      </c>
      <c r="E2" s="46" t="s">
        <v>1078</v>
      </c>
      <c r="F2" s="35">
        <f>99000*3</f>
        <v>297000</v>
      </c>
      <c r="G2" s="35">
        <f>99000*3</f>
        <v>297000</v>
      </c>
      <c r="H2" s="35">
        <v>0</v>
      </c>
      <c r="I2" s="35">
        <f t="shared" ref="I2:I65" si="0">G2+H2</f>
        <v>297000</v>
      </c>
      <c r="J2" s="36">
        <f t="shared" ref="J2:J65" si="1">IF(G2=0,100%,(I2-G2)/G2)</f>
        <v>0</v>
      </c>
      <c r="K2" s="48" t="s">
        <v>83</v>
      </c>
      <c r="L2" s="48" t="s">
        <v>83</v>
      </c>
      <c r="M2" s="38">
        <v>42551</v>
      </c>
      <c r="N2" s="48" t="s">
        <v>84</v>
      </c>
      <c r="O2" s="35"/>
      <c r="P2" s="35">
        <v>99000</v>
      </c>
      <c r="Q2" s="35">
        <v>99000</v>
      </c>
      <c r="R2" s="35">
        <v>99000</v>
      </c>
      <c r="S2" s="35"/>
    </row>
    <row r="3" spans="1:19" s="15" customFormat="1" ht="26.25" customHeight="1" x14ac:dyDescent="0.2">
      <c r="A3" s="43" t="s">
        <v>267</v>
      </c>
      <c r="B3" s="46" t="s">
        <v>124</v>
      </c>
      <c r="C3" s="44" t="s">
        <v>281</v>
      </c>
      <c r="D3" s="34">
        <v>6589</v>
      </c>
      <c r="E3" s="46" t="s">
        <v>296</v>
      </c>
      <c r="F3" s="35">
        <v>49000</v>
      </c>
      <c r="G3" s="40">
        <v>49000</v>
      </c>
      <c r="H3" s="35">
        <v>0</v>
      </c>
      <c r="I3" s="35">
        <f t="shared" si="0"/>
        <v>49000</v>
      </c>
      <c r="J3" s="36">
        <f t="shared" si="1"/>
        <v>0</v>
      </c>
      <c r="K3" s="48" t="s">
        <v>83</v>
      </c>
      <c r="L3" s="48" t="s">
        <v>83</v>
      </c>
      <c r="M3" s="52">
        <v>41820</v>
      </c>
      <c r="N3" s="48"/>
      <c r="O3" s="35">
        <v>49000</v>
      </c>
      <c r="P3" s="35"/>
      <c r="Q3" s="35"/>
      <c r="R3" s="35"/>
      <c r="S3" s="41"/>
    </row>
    <row r="4" spans="1:19" s="15" customFormat="1" ht="26.25" customHeight="1" x14ac:dyDescent="0.2">
      <c r="A4" s="43" t="s">
        <v>1058</v>
      </c>
      <c r="B4" s="46" t="s">
        <v>94</v>
      </c>
      <c r="C4" s="44" t="s">
        <v>1066</v>
      </c>
      <c r="D4" s="47">
        <v>8408</v>
      </c>
      <c r="E4" s="46" t="s">
        <v>1074</v>
      </c>
      <c r="F4" s="35">
        <f>99000*3</f>
        <v>297000</v>
      </c>
      <c r="G4" s="35">
        <f>99000*3</f>
        <v>297000</v>
      </c>
      <c r="H4" s="35">
        <v>0</v>
      </c>
      <c r="I4" s="35">
        <f t="shared" si="0"/>
        <v>297000</v>
      </c>
      <c r="J4" s="36">
        <f t="shared" si="1"/>
        <v>0</v>
      </c>
      <c r="K4" s="48" t="s">
        <v>83</v>
      </c>
      <c r="L4" s="48" t="s">
        <v>83</v>
      </c>
      <c r="M4" s="38">
        <v>41820</v>
      </c>
      <c r="N4" s="48" t="s">
        <v>84</v>
      </c>
      <c r="O4" s="35">
        <v>99000</v>
      </c>
      <c r="P4" s="35">
        <v>99000</v>
      </c>
      <c r="Q4" s="35">
        <v>99000</v>
      </c>
      <c r="R4" s="35"/>
      <c r="S4" s="41"/>
    </row>
    <row r="5" spans="1:19" s="15" customFormat="1" ht="18" customHeight="1" x14ac:dyDescent="0.2">
      <c r="A5" s="43" t="s">
        <v>158</v>
      </c>
      <c r="B5" s="46" t="s">
        <v>94</v>
      </c>
      <c r="C5" s="44" t="s">
        <v>162</v>
      </c>
      <c r="D5" s="34">
        <v>6544</v>
      </c>
      <c r="E5" s="46" t="s">
        <v>165</v>
      </c>
      <c r="F5" s="35">
        <f>10000+10000+10000</f>
        <v>30000</v>
      </c>
      <c r="G5" s="35">
        <f>10000+10000+10000</f>
        <v>30000</v>
      </c>
      <c r="H5" s="35">
        <v>0</v>
      </c>
      <c r="I5" s="35">
        <f t="shared" si="0"/>
        <v>30000</v>
      </c>
      <c r="J5" s="36">
        <f t="shared" si="1"/>
        <v>0</v>
      </c>
      <c r="K5" s="48" t="s">
        <v>83</v>
      </c>
      <c r="L5" s="48" t="s">
        <v>83</v>
      </c>
      <c r="M5" s="38">
        <v>41820</v>
      </c>
      <c r="N5" s="48" t="s">
        <v>84</v>
      </c>
      <c r="O5" s="41">
        <v>10000</v>
      </c>
      <c r="P5" s="41">
        <v>10000</v>
      </c>
      <c r="Q5" s="41">
        <v>10000</v>
      </c>
      <c r="R5" s="41"/>
      <c r="S5" s="41"/>
    </row>
    <row r="6" spans="1:19" s="15" customFormat="1" ht="26.25" customHeight="1" x14ac:dyDescent="0.2">
      <c r="A6" s="43" t="s">
        <v>678</v>
      </c>
      <c r="B6" s="46" t="s">
        <v>125</v>
      </c>
      <c r="C6" s="44" t="s">
        <v>706</v>
      </c>
      <c r="D6" s="47">
        <v>7793</v>
      </c>
      <c r="E6" s="46" t="s">
        <v>694</v>
      </c>
      <c r="F6" s="35">
        <f>5997*3</f>
        <v>17991</v>
      </c>
      <c r="G6" s="40">
        <f>5997*3</f>
        <v>17991</v>
      </c>
      <c r="H6" s="35">
        <v>0</v>
      </c>
      <c r="I6" s="35">
        <f t="shared" si="0"/>
        <v>17991</v>
      </c>
      <c r="J6" s="36">
        <f t="shared" si="1"/>
        <v>0</v>
      </c>
      <c r="K6" s="48" t="s">
        <v>83</v>
      </c>
      <c r="L6" s="48" t="s">
        <v>83</v>
      </c>
      <c r="M6" s="38">
        <v>42035</v>
      </c>
      <c r="N6" s="48" t="s">
        <v>84</v>
      </c>
      <c r="O6" s="35">
        <v>5997</v>
      </c>
      <c r="P6" s="35">
        <v>5997</v>
      </c>
      <c r="Q6" s="35">
        <v>5997</v>
      </c>
      <c r="R6" s="35"/>
      <c r="S6" s="41"/>
    </row>
    <row r="7" spans="1:19" s="15" customFormat="1" ht="26.25" customHeight="1" x14ac:dyDescent="0.2">
      <c r="A7" s="43" t="s">
        <v>495</v>
      </c>
      <c r="B7" s="46" t="s">
        <v>41</v>
      </c>
      <c r="C7" s="44" t="s">
        <v>524</v>
      </c>
      <c r="D7" s="34">
        <v>7364</v>
      </c>
      <c r="E7" s="46" t="s">
        <v>508</v>
      </c>
      <c r="F7" s="35">
        <v>7374</v>
      </c>
      <c r="G7" s="40">
        <v>7374</v>
      </c>
      <c r="H7" s="35">
        <v>0</v>
      </c>
      <c r="I7" s="35">
        <f t="shared" si="0"/>
        <v>7374</v>
      </c>
      <c r="J7" s="36">
        <f t="shared" si="1"/>
        <v>0</v>
      </c>
      <c r="K7" s="48" t="s">
        <v>83</v>
      </c>
      <c r="L7" s="48" t="s">
        <v>85</v>
      </c>
      <c r="M7" s="38">
        <v>41926</v>
      </c>
      <c r="N7" s="48"/>
      <c r="O7" s="35">
        <v>7374</v>
      </c>
      <c r="P7" s="35"/>
      <c r="Q7" s="35"/>
      <c r="R7" s="35"/>
      <c r="S7" s="41"/>
    </row>
    <row r="8" spans="1:19" s="15" customFormat="1" ht="18" customHeight="1" x14ac:dyDescent="0.2">
      <c r="A8" s="43" t="s">
        <v>1039</v>
      </c>
      <c r="B8" s="46" t="s">
        <v>41</v>
      </c>
      <c r="C8" s="44" t="s">
        <v>524</v>
      </c>
      <c r="D8" s="47">
        <v>8347</v>
      </c>
      <c r="E8" s="46" t="s">
        <v>1049</v>
      </c>
      <c r="F8" s="35">
        <v>8939</v>
      </c>
      <c r="G8" s="35">
        <v>8939</v>
      </c>
      <c r="H8" s="35">
        <v>0</v>
      </c>
      <c r="I8" s="35">
        <f t="shared" si="0"/>
        <v>8939</v>
      </c>
      <c r="J8" s="36">
        <f t="shared" si="1"/>
        <v>0</v>
      </c>
      <c r="K8" s="48" t="s">
        <v>83</v>
      </c>
      <c r="L8" s="48" t="s">
        <v>83</v>
      </c>
      <c r="M8" s="38">
        <v>41820</v>
      </c>
      <c r="N8" s="48"/>
      <c r="O8" s="35">
        <v>8939</v>
      </c>
      <c r="P8" s="35"/>
      <c r="Q8" s="35"/>
      <c r="R8" s="35"/>
      <c r="S8" s="41"/>
    </row>
    <row r="9" spans="1:19" s="15" customFormat="1" ht="26.25" customHeight="1" x14ac:dyDescent="0.2">
      <c r="A9" s="43" t="s">
        <v>167</v>
      </c>
      <c r="B9" s="46" t="s">
        <v>145</v>
      </c>
      <c r="C9" s="44" t="s">
        <v>174</v>
      </c>
      <c r="D9" s="34">
        <v>6573</v>
      </c>
      <c r="E9" s="46" t="s">
        <v>181</v>
      </c>
      <c r="F9" s="35">
        <f>20000+20000+20000</f>
        <v>60000</v>
      </c>
      <c r="G9" s="35">
        <f>20000+20000+20000</f>
        <v>60000</v>
      </c>
      <c r="H9" s="35">
        <v>0</v>
      </c>
      <c r="I9" s="35">
        <f t="shared" si="0"/>
        <v>60000</v>
      </c>
      <c r="J9" s="36">
        <f t="shared" si="1"/>
        <v>0</v>
      </c>
      <c r="K9" s="48" t="s">
        <v>83</v>
      </c>
      <c r="L9" s="48" t="s">
        <v>83</v>
      </c>
      <c r="M9" s="38">
        <v>41820</v>
      </c>
      <c r="N9" s="48" t="s">
        <v>84</v>
      </c>
      <c r="O9" s="41">
        <v>20000</v>
      </c>
      <c r="P9" s="41">
        <v>20000</v>
      </c>
      <c r="Q9" s="41">
        <v>20000</v>
      </c>
      <c r="R9" s="41"/>
      <c r="S9" s="41"/>
    </row>
    <row r="10" spans="1:19" s="15" customFormat="1" ht="38.25" customHeight="1" x14ac:dyDescent="0.2">
      <c r="A10" s="43" t="s">
        <v>332</v>
      </c>
      <c r="B10" s="46" t="s">
        <v>47</v>
      </c>
      <c r="C10" s="44" t="s">
        <v>339</v>
      </c>
      <c r="D10" s="47">
        <v>7165</v>
      </c>
      <c r="E10" s="46" t="s">
        <v>336</v>
      </c>
      <c r="F10" s="35">
        <v>99000</v>
      </c>
      <c r="G10" s="40">
        <v>99000</v>
      </c>
      <c r="H10" s="35">
        <v>0</v>
      </c>
      <c r="I10" s="35">
        <f t="shared" si="0"/>
        <v>99000</v>
      </c>
      <c r="J10" s="36">
        <f t="shared" si="1"/>
        <v>0</v>
      </c>
      <c r="K10" s="48" t="s">
        <v>83</v>
      </c>
      <c r="L10" s="48" t="s">
        <v>83</v>
      </c>
      <c r="M10" s="38">
        <v>41820</v>
      </c>
      <c r="N10" s="48"/>
      <c r="O10" s="35">
        <v>99000</v>
      </c>
      <c r="P10" s="35"/>
      <c r="Q10" s="35"/>
      <c r="R10" s="35"/>
      <c r="S10" s="41"/>
    </row>
    <row r="11" spans="1:19" s="15" customFormat="1" ht="26.25" customHeight="1" x14ac:dyDescent="0.2">
      <c r="A11" s="43" t="s">
        <v>500</v>
      </c>
      <c r="B11" s="46" t="s">
        <v>159</v>
      </c>
      <c r="C11" s="44" t="s">
        <v>526</v>
      </c>
      <c r="D11" s="34">
        <v>7389</v>
      </c>
      <c r="E11" s="46" t="s">
        <v>513</v>
      </c>
      <c r="F11" s="35">
        <f>12420+13500+14500</f>
        <v>40420</v>
      </c>
      <c r="G11" s="35">
        <f>12420+13500+14500</f>
        <v>40420</v>
      </c>
      <c r="H11" s="35">
        <v>0</v>
      </c>
      <c r="I11" s="35">
        <f t="shared" si="0"/>
        <v>40420</v>
      </c>
      <c r="J11" s="36">
        <f t="shared" si="1"/>
        <v>0</v>
      </c>
      <c r="K11" s="48" t="s">
        <v>83</v>
      </c>
      <c r="L11" s="48" t="s">
        <v>83</v>
      </c>
      <c r="M11" s="38">
        <v>41907</v>
      </c>
      <c r="N11" s="48" t="s">
        <v>84</v>
      </c>
      <c r="O11" s="35">
        <v>12420</v>
      </c>
      <c r="P11" s="35">
        <v>13500</v>
      </c>
      <c r="Q11" s="35">
        <v>14500</v>
      </c>
      <c r="R11" s="35"/>
      <c r="S11" s="41"/>
    </row>
    <row r="12" spans="1:19" s="15" customFormat="1" ht="26.25" customHeight="1" x14ac:dyDescent="0.2">
      <c r="A12" s="43" t="s">
        <v>20</v>
      </c>
      <c r="B12" s="46" t="s">
        <v>38</v>
      </c>
      <c r="C12" s="44" t="s">
        <v>51</v>
      </c>
      <c r="D12" s="34">
        <v>6293</v>
      </c>
      <c r="E12" s="46" t="s">
        <v>69</v>
      </c>
      <c r="F12" s="35">
        <v>28485</v>
      </c>
      <c r="G12" s="40">
        <v>28485</v>
      </c>
      <c r="H12" s="35">
        <v>0</v>
      </c>
      <c r="I12" s="49">
        <f t="shared" si="0"/>
        <v>28485</v>
      </c>
      <c r="J12" s="51">
        <f t="shared" si="1"/>
        <v>0</v>
      </c>
      <c r="K12" s="48" t="s">
        <v>83</v>
      </c>
      <c r="L12" s="48" t="s">
        <v>83</v>
      </c>
      <c r="M12" s="38">
        <v>41517</v>
      </c>
      <c r="N12" s="37"/>
      <c r="O12" s="41">
        <v>28485</v>
      </c>
      <c r="P12" s="41"/>
      <c r="Q12" s="41"/>
      <c r="R12" s="41"/>
      <c r="S12" s="41"/>
    </row>
    <row r="13" spans="1:19" s="15" customFormat="1" ht="26.25" customHeight="1" x14ac:dyDescent="0.2">
      <c r="A13" s="43" t="s">
        <v>986</v>
      </c>
      <c r="B13" s="46" t="s">
        <v>44</v>
      </c>
      <c r="C13" s="44" t="s">
        <v>991</v>
      </c>
      <c r="D13" s="47" t="s">
        <v>994</v>
      </c>
      <c r="E13" s="46" t="s">
        <v>1000</v>
      </c>
      <c r="F13" s="35">
        <f>10000+10000</f>
        <v>20000</v>
      </c>
      <c r="G13" s="35">
        <v>25000</v>
      </c>
      <c r="H13" s="35">
        <f>6000+10000+10000</f>
        <v>26000</v>
      </c>
      <c r="I13" s="35">
        <f t="shared" si="0"/>
        <v>51000</v>
      </c>
      <c r="J13" s="36">
        <f t="shared" si="1"/>
        <v>1.04</v>
      </c>
      <c r="K13" s="48" t="s">
        <v>83</v>
      </c>
      <c r="L13" s="48" t="s">
        <v>83</v>
      </c>
      <c r="M13" s="38">
        <v>41820</v>
      </c>
      <c r="N13" s="48" t="s">
        <v>86</v>
      </c>
      <c r="O13" s="35">
        <v>10000</v>
      </c>
      <c r="P13" s="35">
        <v>10000</v>
      </c>
      <c r="Q13" s="35"/>
      <c r="R13" s="35"/>
      <c r="S13" s="41"/>
    </row>
    <row r="14" spans="1:19" s="15" customFormat="1" ht="26.25" customHeight="1" x14ac:dyDescent="0.2">
      <c r="A14" s="43" t="s">
        <v>365</v>
      </c>
      <c r="B14" s="46" t="s">
        <v>47</v>
      </c>
      <c r="C14" s="44" t="s">
        <v>385</v>
      </c>
      <c r="D14" s="47">
        <v>7168</v>
      </c>
      <c r="E14" s="46" t="s">
        <v>338</v>
      </c>
      <c r="F14" s="35">
        <v>20000</v>
      </c>
      <c r="G14" s="40">
        <v>20000</v>
      </c>
      <c r="H14" s="35">
        <v>0</v>
      </c>
      <c r="I14" s="35">
        <f t="shared" si="0"/>
        <v>20000</v>
      </c>
      <c r="J14" s="36">
        <f t="shared" si="1"/>
        <v>0</v>
      </c>
      <c r="K14" s="48" t="s">
        <v>83</v>
      </c>
      <c r="L14" s="48" t="s">
        <v>83</v>
      </c>
      <c r="M14" s="38">
        <v>41820</v>
      </c>
      <c r="N14" s="48"/>
      <c r="O14" s="35">
        <v>20000</v>
      </c>
      <c r="P14" s="35"/>
      <c r="Q14" s="35"/>
      <c r="R14" s="35"/>
      <c r="S14" s="41"/>
    </row>
    <row r="15" spans="1:19" s="15" customFormat="1" ht="26.25" customHeight="1" x14ac:dyDescent="0.2">
      <c r="A15" s="43" t="s">
        <v>972</v>
      </c>
      <c r="B15" s="46" t="s">
        <v>619</v>
      </c>
      <c r="C15" s="44" t="s">
        <v>977</v>
      </c>
      <c r="D15" s="47">
        <v>8295</v>
      </c>
      <c r="E15" s="46" t="s">
        <v>981</v>
      </c>
      <c r="F15" s="35">
        <v>68540</v>
      </c>
      <c r="G15" s="35">
        <v>68540</v>
      </c>
      <c r="H15" s="35">
        <v>0</v>
      </c>
      <c r="I15" s="35">
        <f t="shared" si="0"/>
        <v>68540</v>
      </c>
      <c r="J15" s="36">
        <f t="shared" si="1"/>
        <v>0</v>
      </c>
      <c r="K15" s="48" t="s">
        <v>83</v>
      </c>
      <c r="L15" s="48" t="s">
        <v>83</v>
      </c>
      <c r="M15" s="38">
        <v>42004</v>
      </c>
      <c r="N15" s="48"/>
      <c r="O15" s="35">
        <v>68540</v>
      </c>
      <c r="P15" s="35"/>
      <c r="Q15" s="35"/>
      <c r="R15" s="35"/>
      <c r="S15" s="41"/>
    </row>
    <row r="16" spans="1:19" s="15" customFormat="1" ht="26.25" customHeight="1" x14ac:dyDescent="0.2">
      <c r="A16" s="43" t="s">
        <v>142</v>
      </c>
      <c r="B16" s="46" t="s">
        <v>44</v>
      </c>
      <c r="C16" s="44" t="s">
        <v>146</v>
      </c>
      <c r="D16" s="34">
        <v>6876</v>
      </c>
      <c r="E16" s="46" t="s">
        <v>149</v>
      </c>
      <c r="F16" s="35">
        <v>49999</v>
      </c>
      <c r="G16" s="40">
        <v>49999</v>
      </c>
      <c r="H16" s="35">
        <v>0</v>
      </c>
      <c r="I16" s="35">
        <f t="shared" si="0"/>
        <v>49999</v>
      </c>
      <c r="J16" s="36">
        <f t="shared" si="1"/>
        <v>0</v>
      </c>
      <c r="K16" s="48" t="s">
        <v>83</v>
      </c>
      <c r="L16" s="48" t="s">
        <v>85</v>
      </c>
      <c r="M16" s="38">
        <v>41490</v>
      </c>
      <c r="N16" s="37"/>
      <c r="O16" s="41">
        <v>49999</v>
      </c>
      <c r="P16" s="41"/>
      <c r="Q16" s="41"/>
      <c r="R16" s="41"/>
      <c r="S16" s="41"/>
    </row>
    <row r="17" spans="1:19" s="15" customFormat="1" ht="26.25" customHeight="1" x14ac:dyDescent="0.2">
      <c r="A17" s="43" t="s">
        <v>935</v>
      </c>
      <c r="B17" s="46" t="s">
        <v>940</v>
      </c>
      <c r="C17" s="44" t="s">
        <v>941</v>
      </c>
      <c r="D17" s="47" t="s">
        <v>944</v>
      </c>
      <c r="E17" s="46" t="s">
        <v>945</v>
      </c>
      <c r="F17" s="35">
        <v>4200</v>
      </c>
      <c r="G17" s="35">
        <v>22969</v>
      </c>
      <c r="H17" s="35">
        <v>4200</v>
      </c>
      <c r="I17" s="35">
        <f t="shared" si="0"/>
        <v>27169</v>
      </c>
      <c r="J17" s="36">
        <f t="shared" si="1"/>
        <v>0.18285515259697854</v>
      </c>
      <c r="K17" s="48" t="s">
        <v>83</v>
      </c>
      <c r="L17" s="48" t="s">
        <v>83</v>
      </c>
      <c r="M17" s="38">
        <v>41817</v>
      </c>
      <c r="N17" s="48" t="s">
        <v>86</v>
      </c>
      <c r="O17" s="35">
        <v>4200</v>
      </c>
      <c r="P17" s="35"/>
      <c r="Q17" s="35"/>
      <c r="R17" s="35"/>
      <c r="S17" s="41"/>
    </row>
    <row r="18" spans="1:19" s="15" customFormat="1" ht="26.25" customHeight="1" x14ac:dyDescent="0.2">
      <c r="A18" s="43" t="s">
        <v>868</v>
      </c>
      <c r="B18" s="46" t="s">
        <v>315</v>
      </c>
      <c r="C18" s="44" t="s">
        <v>878</v>
      </c>
      <c r="D18" s="47" t="s">
        <v>881</v>
      </c>
      <c r="E18" s="46" t="s">
        <v>874</v>
      </c>
      <c r="F18" s="35">
        <v>50000</v>
      </c>
      <c r="G18" s="35">
        <v>10000</v>
      </c>
      <c r="H18" s="35">
        <f>10000+50000</f>
        <v>60000</v>
      </c>
      <c r="I18" s="35">
        <f t="shared" si="0"/>
        <v>70000</v>
      </c>
      <c r="J18" s="36">
        <f t="shared" si="1"/>
        <v>6</v>
      </c>
      <c r="K18" s="48" t="s">
        <v>83</v>
      </c>
      <c r="L18" s="48" t="s">
        <v>83</v>
      </c>
      <c r="M18" s="52" t="s">
        <v>331</v>
      </c>
      <c r="N18" s="48" t="s">
        <v>86</v>
      </c>
      <c r="O18" s="35">
        <v>50000</v>
      </c>
      <c r="P18" s="35"/>
      <c r="Q18" s="35"/>
      <c r="R18" s="35"/>
      <c r="S18" s="41"/>
    </row>
    <row r="19" spans="1:19" s="15" customFormat="1" ht="26.25" customHeight="1" x14ac:dyDescent="0.2">
      <c r="A19" s="43" t="s">
        <v>22</v>
      </c>
      <c r="B19" s="46" t="s">
        <v>40</v>
      </c>
      <c r="C19" s="44" t="s">
        <v>53</v>
      </c>
      <c r="D19" s="47" t="s">
        <v>64</v>
      </c>
      <c r="E19" s="46" t="s">
        <v>71</v>
      </c>
      <c r="F19" s="49">
        <v>10000</v>
      </c>
      <c r="G19" s="40">
        <v>20000</v>
      </c>
      <c r="H19" s="35">
        <f>20000+10000</f>
        <v>30000</v>
      </c>
      <c r="I19" s="49">
        <f t="shared" si="0"/>
        <v>50000</v>
      </c>
      <c r="J19" s="51">
        <f t="shared" si="1"/>
        <v>1.5</v>
      </c>
      <c r="K19" s="48" t="s">
        <v>83</v>
      </c>
      <c r="L19" s="48" t="s">
        <v>83</v>
      </c>
      <c r="M19" s="38">
        <v>41455</v>
      </c>
      <c r="N19" s="48" t="s">
        <v>86</v>
      </c>
      <c r="O19" s="41">
        <v>10000</v>
      </c>
      <c r="P19" s="54"/>
      <c r="Q19" s="41"/>
      <c r="R19" s="41"/>
      <c r="S19" s="41"/>
    </row>
    <row r="20" spans="1:19" s="15" customFormat="1" ht="26.25" customHeight="1" x14ac:dyDescent="0.2">
      <c r="A20" s="43" t="s">
        <v>865</v>
      </c>
      <c r="B20" s="46" t="s">
        <v>40</v>
      </c>
      <c r="C20" s="44" t="s">
        <v>53</v>
      </c>
      <c r="D20" s="47" t="s">
        <v>879</v>
      </c>
      <c r="E20" s="46" t="s">
        <v>871</v>
      </c>
      <c r="F20" s="35">
        <v>20000</v>
      </c>
      <c r="G20" s="35">
        <v>20000</v>
      </c>
      <c r="H20" s="35">
        <f>20000+20000+20000+20000</f>
        <v>80000</v>
      </c>
      <c r="I20" s="35">
        <f t="shared" si="0"/>
        <v>100000</v>
      </c>
      <c r="J20" s="36">
        <f t="shared" si="1"/>
        <v>4</v>
      </c>
      <c r="K20" s="48" t="s">
        <v>83</v>
      </c>
      <c r="L20" s="48" t="s">
        <v>83</v>
      </c>
      <c r="M20" s="38">
        <v>41820</v>
      </c>
      <c r="N20" s="48" t="s">
        <v>86</v>
      </c>
      <c r="O20" s="35">
        <v>20000</v>
      </c>
      <c r="P20" s="35"/>
      <c r="Q20" s="35"/>
      <c r="R20" s="35"/>
      <c r="S20" s="41"/>
    </row>
    <row r="21" spans="1:19" s="15" customFormat="1" ht="26.25" customHeight="1" x14ac:dyDescent="0.2">
      <c r="A21" s="43" t="s">
        <v>475</v>
      </c>
      <c r="B21" s="46" t="s">
        <v>479</v>
      </c>
      <c r="C21" s="44" t="s">
        <v>480</v>
      </c>
      <c r="D21" s="47">
        <v>7344</v>
      </c>
      <c r="E21" s="46" t="s">
        <v>484</v>
      </c>
      <c r="F21" s="35">
        <v>99475</v>
      </c>
      <c r="G21" s="40">
        <v>99475</v>
      </c>
      <c r="H21" s="35">
        <v>0</v>
      </c>
      <c r="I21" s="35">
        <f t="shared" si="0"/>
        <v>99475</v>
      </c>
      <c r="J21" s="36">
        <f t="shared" si="1"/>
        <v>0</v>
      </c>
      <c r="K21" s="48" t="s">
        <v>83</v>
      </c>
      <c r="L21" s="48" t="s">
        <v>85</v>
      </c>
      <c r="M21" s="38">
        <v>41820</v>
      </c>
      <c r="N21" s="48"/>
      <c r="O21" s="35">
        <v>99475</v>
      </c>
      <c r="P21" s="35"/>
      <c r="Q21" s="35"/>
      <c r="R21" s="35"/>
      <c r="S21" s="41"/>
    </row>
    <row r="22" spans="1:19" s="15" customFormat="1" ht="26.25" customHeight="1" x14ac:dyDescent="0.2">
      <c r="A22" s="43" t="s">
        <v>494</v>
      </c>
      <c r="B22" s="46" t="s">
        <v>39</v>
      </c>
      <c r="C22" s="44" t="s">
        <v>523</v>
      </c>
      <c r="D22" s="34">
        <v>7356</v>
      </c>
      <c r="E22" s="46" t="s">
        <v>507</v>
      </c>
      <c r="F22" s="35">
        <v>30000</v>
      </c>
      <c r="G22" s="40">
        <v>30000</v>
      </c>
      <c r="H22" s="35">
        <v>0</v>
      </c>
      <c r="I22" s="35">
        <f t="shared" si="0"/>
        <v>30000</v>
      </c>
      <c r="J22" s="36">
        <f t="shared" si="1"/>
        <v>0</v>
      </c>
      <c r="K22" s="48" t="s">
        <v>83</v>
      </c>
      <c r="L22" s="48" t="s">
        <v>85</v>
      </c>
      <c r="M22" s="38">
        <v>41820</v>
      </c>
      <c r="N22" s="48"/>
      <c r="O22" s="35">
        <v>30000</v>
      </c>
      <c r="P22" s="35"/>
      <c r="Q22" s="35"/>
      <c r="R22" s="35"/>
      <c r="S22" s="41"/>
    </row>
    <row r="23" spans="1:19" s="15" customFormat="1" ht="26.25" customHeight="1" x14ac:dyDescent="0.2">
      <c r="A23" s="43" t="s">
        <v>990</v>
      </c>
      <c r="B23" s="46" t="s">
        <v>39</v>
      </c>
      <c r="C23" s="44" t="s">
        <v>523</v>
      </c>
      <c r="D23" s="47" t="s">
        <v>995</v>
      </c>
      <c r="E23" s="46" t="s">
        <v>996</v>
      </c>
      <c r="F23" s="35">
        <v>9900</v>
      </c>
      <c r="G23" s="35">
        <v>30000</v>
      </c>
      <c r="H23" s="35">
        <v>9900</v>
      </c>
      <c r="I23" s="35">
        <f t="shared" si="0"/>
        <v>39900</v>
      </c>
      <c r="J23" s="36">
        <f t="shared" si="1"/>
        <v>0.33</v>
      </c>
      <c r="K23" s="48" t="s">
        <v>83</v>
      </c>
      <c r="L23" s="48" t="s">
        <v>83</v>
      </c>
      <c r="M23" s="38">
        <v>41820</v>
      </c>
      <c r="N23" s="48" t="s">
        <v>86</v>
      </c>
      <c r="O23" s="35">
        <v>9900</v>
      </c>
      <c r="P23" s="35"/>
      <c r="Q23" s="35"/>
      <c r="R23" s="35"/>
      <c r="S23" s="41"/>
    </row>
    <row r="24" spans="1:19" s="15" customFormat="1" ht="18" customHeight="1" x14ac:dyDescent="0.2">
      <c r="A24" s="43" t="s">
        <v>545</v>
      </c>
      <c r="B24" s="46" t="s">
        <v>38</v>
      </c>
      <c r="C24" s="44" t="s">
        <v>561</v>
      </c>
      <c r="D24" s="47">
        <v>7322</v>
      </c>
      <c r="E24" s="46" t="s">
        <v>597</v>
      </c>
      <c r="F24" s="35">
        <v>29760</v>
      </c>
      <c r="G24" s="40">
        <v>29760</v>
      </c>
      <c r="H24" s="35">
        <v>0</v>
      </c>
      <c r="I24" s="35">
        <f t="shared" si="0"/>
        <v>29760</v>
      </c>
      <c r="J24" s="36">
        <f t="shared" si="1"/>
        <v>0</v>
      </c>
      <c r="K24" s="48" t="s">
        <v>83</v>
      </c>
      <c r="L24" s="48" t="s">
        <v>83</v>
      </c>
      <c r="M24" s="38">
        <v>41574</v>
      </c>
      <c r="N24" s="48"/>
      <c r="O24" s="35">
        <v>29760</v>
      </c>
      <c r="P24" s="35"/>
      <c r="Q24" s="35"/>
      <c r="R24" s="35"/>
      <c r="S24" s="41"/>
    </row>
    <row r="25" spans="1:19" s="15" customFormat="1" ht="26.25" customHeight="1" x14ac:dyDescent="0.2">
      <c r="A25" s="43" t="s">
        <v>168</v>
      </c>
      <c r="B25" s="46" t="s">
        <v>145</v>
      </c>
      <c r="C25" s="44" t="s">
        <v>175</v>
      </c>
      <c r="D25" s="34">
        <v>6575</v>
      </c>
      <c r="E25" s="46" t="s">
        <v>182</v>
      </c>
      <c r="F25" s="35">
        <f>15000+15000+15000</f>
        <v>45000</v>
      </c>
      <c r="G25" s="35">
        <f>15000+15000+15000</f>
        <v>45000</v>
      </c>
      <c r="H25" s="35">
        <v>0</v>
      </c>
      <c r="I25" s="35">
        <f t="shared" si="0"/>
        <v>45000</v>
      </c>
      <c r="J25" s="36">
        <f t="shared" si="1"/>
        <v>0</v>
      </c>
      <c r="K25" s="48" t="s">
        <v>83</v>
      </c>
      <c r="L25" s="48" t="s">
        <v>83</v>
      </c>
      <c r="M25" s="38">
        <v>41820</v>
      </c>
      <c r="N25" s="48" t="s">
        <v>84</v>
      </c>
      <c r="O25" s="41">
        <v>15000</v>
      </c>
      <c r="P25" s="41">
        <v>15000</v>
      </c>
      <c r="Q25" s="41">
        <v>15000</v>
      </c>
      <c r="R25" s="41"/>
      <c r="S25" s="41"/>
    </row>
    <row r="26" spans="1:19" s="15" customFormat="1" ht="26.25" customHeight="1" x14ac:dyDescent="0.2">
      <c r="A26" s="43" t="s">
        <v>625</v>
      </c>
      <c r="B26" s="46" t="s">
        <v>145</v>
      </c>
      <c r="C26" s="44" t="s">
        <v>175</v>
      </c>
      <c r="D26" s="47">
        <v>7591</v>
      </c>
      <c r="E26" s="46" t="s">
        <v>634</v>
      </c>
      <c r="F26" s="35">
        <v>30000</v>
      </c>
      <c r="G26" s="40">
        <v>30000</v>
      </c>
      <c r="H26" s="35">
        <v>0</v>
      </c>
      <c r="I26" s="35">
        <f t="shared" si="0"/>
        <v>30000</v>
      </c>
      <c r="J26" s="36">
        <f t="shared" si="1"/>
        <v>0</v>
      </c>
      <c r="K26" s="48" t="s">
        <v>83</v>
      </c>
      <c r="L26" s="48" t="s">
        <v>85</v>
      </c>
      <c r="M26" s="52">
        <v>41820</v>
      </c>
      <c r="N26" s="48"/>
      <c r="O26" s="35">
        <v>30000</v>
      </c>
      <c r="P26" s="35"/>
      <c r="Q26" s="35"/>
      <c r="R26" s="35"/>
      <c r="S26" s="41"/>
    </row>
    <row r="27" spans="1:19" s="15" customFormat="1" ht="26.25" customHeight="1" x14ac:dyDescent="0.2">
      <c r="A27" s="43" t="s">
        <v>867</v>
      </c>
      <c r="B27" s="46" t="s">
        <v>39</v>
      </c>
      <c r="C27" s="44" t="s">
        <v>877</v>
      </c>
      <c r="D27" s="47">
        <v>8138</v>
      </c>
      <c r="E27" s="46" t="s">
        <v>873</v>
      </c>
      <c r="F27" s="35">
        <v>77000</v>
      </c>
      <c r="G27" s="35">
        <v>77000</v>
      </c>
      <c r="H27" s="35">
        <v>0</v>
      </c>
      <c r="I27" s="35">
        <f t="shared" si="0"/>
        <v>77000</v>
      </c>
      <c r="J27" s="36">
        <f t="shared" si="1"/>
        <v>0</v>
      </c>
      <c r="K27" s="48" t="s">
        <v>83</v>
      </c>
      <c r="L27" s="48" t="s">
        <v>83</v>
      </c>
      <c r="M27" s="38">
        <v>42004</v>
      </c>
      <c r="N27" s="48"/>
      <c r="O27" s="35">
        <v>77000</v>
      </c>
      <c r="P27" s="35"/>
      <c r="Q27" s="35"/>
      <c r="R27" s="35"/>
      <c r="S27" s="41"/>
    </row>
    <row r="28" spans="1:19" s="15" customFormat="1" ht="26.25" customHeight="1" x14ac:dyDescent="0.2">
      <c r="A28" s="43" t="s">
        <v>770</v>
      </c>
      <c r="B28" s="46" t="s">
        <v>315</v>
      </c>
      <c r="C28" s="44" t="s">
        <v>774</v>
      </c>
      <c r="D28" s="47" t="s">
        <v>778</v>
      </c>
      <c r="E28" s="46" t="s">
        <v>780</v>
      </c>
      <c r="F28" s="35">
        <v>15000</v>
      </c>
      <c r="G28" s="40">
        <v>15000</v>
      </c>
      <c r="H28" s="35">
        <v>0</v>
      </c>
      <c r="I28" s="35">
        <f t="shared" si="0"/>
        <v>15000</v>
      </c>
      <c r="J28" s="36">
        <f t="shared" si="1"/>
        <v>0</v>
      </c>
      <c r="K28" s="48" t="s">
        <v>83</v>
      </c>
      <c r="L28" s="48" t="s">
        <v>83</v>
      </c>
      <c r="M28" s="38">
        <v>41820</v>
      </c>
      <c r="N28" s="48"/>
      <c r="O28" s="35">
        <v>15000</v>
      </c>
      <c r="P28" s="35"/>
      <c r="Q28" s="35"/>
      <c r="R28" s="35"/>
      <c r="S28" s="41"/>
    </row>
    <row r="29" spans="1:19" s="15" customFormat="1" ht="18" customHeight="1" x14ac:dyDescent="0.2">
      <c r="A29" s="43" t="s">
        <v>411</v>
      </c>
      <c r="B29" s="46" t="s">
        <v>40</v>
      </c>
      <c r="C29" s="44" t="s">
        <v>414</v>
      </c>
      <c r="D29" s="34">
        <v>7105</v>
      </c>
      <c r="E29" s="46" t="s">
        <v>413</v>
      </c>
      <c r="F29" s="40">
        <f>98800*3</f>
        <v>296400</v>
      </c>
      <c r="G29" s="40">
        <f>98800*3</f>
        <v>296400</v>
      </c>
      <c r="H29" s="35">
        <v>0</v>
      </c>
      <c r="I29" s="35">
        <f t="shared" si="0"/>
        <v>296400</v>
      </c>
      <c r="J29" s="36">
        <f t="shared" si="1"/>
        <v>0</v>
      </c>
      <c r="K29" s="48" t="s">
        <v>83</v>
      </c>
      <c r="L29" s="48" t="s">
        <v>85</v>
      </c>
      <c r="M29" s="38">
        <v>41820</v>
      </c>
      <c r="N29" s="48" t="s">
        <v>84</v>
      </c>
      <c r="O29" s="35">
        <v>98800</v>
      </c>
      <c r="P29" s="35">
        <v>98800</v>
      </c>
      <c r="Q29" s="35">
        <v>98800</v>
      </c>
      <c r="R29" s="35"/>
      <c r="S29" s="41"/>
    </row>
    <row r="30" spans="1:19" s="15" customFormat="1" ht="26.25" customHeight="1" x14ac:dyDescent="0.2">
      <c r="A30" s="43" t="s">
        <v>87</v>
      </c>
      <c r="B30" s="46" t="s">
        <v>94</v>
      </c>
      <c r="C30" s="44" t="s">
        <v>96</v>
      </c>
      <c r="D30" s="47" t="s">
        <v>102</v>
      </c>
      <c r="E30" s="46" t="s">
        <v>108</v>
      </c>
      <c r="F30" s="35">
        <f>20000+20000</f>
        <v>40000</v>
      </c>
      <c r="G30" s="40">
        <v>15000</v>
      </c>
      <c r="H30" s="35">
        <f>20000*2</f>
        <v>40000</v>
      </c>
      <c r="I30" s="49">
        <f t="shared" si="0"/>
        <v>55000</v>
      </c>
      <c r="J30" s="51">
        <f t="shared" si="1"/>
        <v>2.6666666666666665</v>
      </c>
      <c r="K30" s="48" t="s">
        <v>83</v>
      </c>
      <c r="L30" s="48" t="s">
        <v>83</v>
      </c>
      <c r="M30" s="38">
        <v>41820</v>
      </c>
      <c r="N30" s="48" t="s">
        <v>84</v>
      </c>
      <c r="O30" s="41">
        <v>20000</v>
      </c>
      <c r="P30" s="41">
        <v>20000</v>
      </c>
      <c r="Q30" s="41"/>
      <c r="R30" s="41"/>
      <c r="S30" s="41"/>
    </row>
    <row r="31" spans="1:19" s="15" customFormat="1" ht="26.25" customHeight="1" x14ac:dyDescent="0.2">
      <c r="A31" s="43" t="s">
        <v>364</v>
      </c>
      <c r="B31" s="46" t="s">
        <v>47</v>
      </c>
      <c r="C31" s="44" t="s">
        <v>384</v>
      </c>
      <c r="D31" s="47">
        <v>7169</v>
      </c>
      <c r="E31" s="46" t="s">
        <v>389</v>
      </c>
      <c r="F31" s="35">
        <v>20000</v>
      </c>
      <c r="G31" s="40">
        <v>20000</v>
      </c>
      <c r="H31" s="35">
        <v>0</v>
      </c>
      <c r="I31" s="35">
        <f t="shared" si="0"/>
        <v>20000</v>
      </c>
      <c r="J31" s="36">
        <f t="shared" si="1"/>
        <v>0</v>
      </c>
      <c r="K31" s="48" t="s">
        <v>83</v>
      </c>
      <c r="L31" s="48" t="s">
        <v>83</v>
      </c>
      <c r="M31" s="38">
        <v>41820</v>
      </c>
      <c r="N31" s="48"/>
      <c r="O31" s="35">
        <v>20000</v>
      </c>
      <c r="P31" s="35"/>
      <c r="Q31" s="35"/>
      <c r="R31" s="35"/>
      <c r="S31" s="41"/>
    </row>
    <row r="32" spans="1:19" s="15" customFormat="1" ht="38.25" customHeight="1" x14ac:dyDescent="0.2">
      <c r="A32" s="43" t="s">
        <v>950</v>
      </c>
      <c r="B32" s="46" t="s">
        <v>557</v>
      </c>
      <c r="C32" s="44" t="s">
        <v>951</v>
      </c>
      <c r="D32" s="47">
        <v>8290</v>
      </c>
      <c r="E32" s="46" t="s">
        <v>1089</v>
      </c>
      <c r="F32" s="35">
        <v>95000</v>
      </c>
      <c r="G32" s="35">
        <v>95000</v>
      </c>
      <c r="H32" s="35">
        <v>0</v>
      </c>
      <c r="I32" s="35">
        <f t="shared" si="0"/>
        <v>95000</v>
      </c>
      <c r="J32" s="36">
        <f t="shared" si="1"/>
        <v>0</v>
      </c>
      <c r="K32" s="48" t="s">
        <v>83</v>
      </c>
      <c r="L32" s="48" t="s">
        <v>83</v>
      </c>
      <c r="M32" s="38">
        <v>41912</v>
      </c>
      <c r="N32" s="48"/>
      <c r="O32" s="35">
        <v>95000</v>
      </c>
      <c r="P32" s="35"/>
      <c r="Q32" s="35"/>
      <c r="R32" s="35"/>
      <c r="S32" s="41"/>
    </row>
    <row r="33" spans="1:19" s="15" customFormat="1" ht="26.25" customHeight="1" x14ac:dyDescent="0.2">
      <c r="A33" s="43" t="s">
        <v>269</v>
      </c>
      <c r="B33" s="46" t="s">
        <v>37</v>
      </c>
      <c r="C33" s="44" t="s">
        <v>283</v>
      </c>
      <c r="D33" s="47" t="s">
        <v>292</v>
      </c>
      <c r="E33" s="46" t="s">
        <v>298</v>
      </c>
      <c r="F33" s="35">
        <v>40000</v>
      </c>
      <c r="G33" s="40">
        <v>44500</v>
      </c>
      <c r="H33" s="35">
        <v>40000</v>
      </c>
      <c r="I33" s="35">
        <f t="shared" si="0"/>
        <v>84500</v>
      </c>
      <c r="J33" s="36">
        <f t="shared" si="1"/>
        <v>0.898876404494382</v>
      </c>
      <c r="K33" s="48" t="s">
        <v>83</v>
      </c>
      <c r="L33" s="48" t="s">
        <v>83</v>
      </c>
      <c r="M33" s="52">
        <v>41608</v>
      </c>
      <c r="N33" s="48" t="s">
        <v>86</v>
      </c>
      <c r="O33" s="35">
        <v>40000</v>
      </c>
      <c r="P33" s="35"/>
      <c r="Q33" s="35"/>
      <c r="R33" s="35"/>
      <c r="S33" s="41"/>
    </row>
    <row r="34" spans="1:19" s="15" customFormat="1" ht="26.25" customHeight="1" x14ac:dyDescent="0.2">
      <c r="A34" s="43" t="s">
        <v>615</v>
      </c>
      <c r="B34" s="46" t="s">
        <v>619</v>
      </c>
      <c r="C34" s="44" t="s">
        <v>283</v>
      </c>
      <c r="D34" s="47">
        <v>7658</v>
      </c>
      <c r="E34" s="46" t="s">
        <v>298</v>
      </c>
      <c r="F34" s="35">
        <v>14500</v>
      </c>
      <c r="G34" s="40">
        <v>44500</v>
      </c>
      <c r="H34" s="35">
        <f>40000+14500</f>
        <v>54500</v>
      </c>
      <c r="I34" s="35">
        <f t="shared" si="0"/>
        <v>99000</v>
      </c>
      <c r="J34" s="36">
        <f t="shared" si="1"/>
        <v>1.2247191011235956</v>
      </c>
      <c r="K34" s="48" t="s">
        <v>83</v>
      </c>
      <c r="L34" s="48" t="s">
        <v>83</v>
      </c>
      <c r="M34" s="52">
        <v>41820</v>
      </c>
      <c r="N34" s="48" t="s">
        <v>86</v>
      </c>
      <c r="O34" s="35">
        <v>14500</v>
      </c>
      <c r="P34" s="35"/>
      <c r="Q34" s="35"/>
      <c r="R34" s="35"/>
      <c r="S34" s="41"/>
    </row>
    <row r="35" spans="1:19" s="15" customFormat="1" ht="26.25" customHeight="1" x14ac:dyDescent="0.2">
      <c r="A35" s="43" t="s">
        <v>756</v>
      </c>
      <c r="B35" s="46" t="s">
        <v>619</v>
      </c>
      <c r="C35" s="44" t="s">
        <v>283</v>
      </c>
      <c r="D35" s="47" t="s">
        <v>763</v>
      </c>
      <c r="E35" s="46" t="s">
        <v>298</v>
      </c>
      <c r="F35" s="35">
        <v>45000</v>
      </c>
      <c r="G35" s="40">
        <v>44500</v>
      </c>
      <c r="H35" s="35">
        <f>40000+14500+45000</f>
        <v>99500</v>
      </c>
      <c r="I35" s="35">
        <f t="shared" si="0"/>
        <v>144000</v>
      </c>
      <c r="J35" s="36">
        <f t="shared" si="1"/>
        <v>2.2359550561797752</v>
      </c>
      <c r="K35" s="48" t="s">
        <v>83</v>
      </c>
      <c r="L35" s="48" t="s">
        <v>83</v>
      </c>
      <c r="M35" s="38">
        <v>41820</v>
      </c>
      <c r="N35" s="48" t="s">
        <v>86</v>
      </c>
      <c r="O35" s="35">
        <v>45000</v>
      </c>
      <c r="P35" s="35"/>
      <c r="Q35" s="35"/>
      <c r="R35" s="35"/>
      <c r="S35" s="41"/>
    </row>
    <row r="36" spans="1:19" s="15" customFormat="1" ht="26.25" customHeight="1" x14ac:dyDescent="0.2">
      <c r="A36" s="43" t="s">
        <v>335</v>
      </c>
      <c r="B36" s="46" t="s">
        <v>47</v>
      </c>
      <c r="C36" s="44" t="s">
        <v>342</v>
      </c>
      <c r="D36" s="47">
        <v>7170</v>
      </c>
      <c r="E36" s="46" t="s">
        <v>338</v>
      </c>
      <c r="F36" s="35">
        <v>50000</v>
      </c>
      <c r="G36" s="40">
        <v>50000</v>
      </c>
      <c r="H36" s="35">
        <v>0</v>
      </c>
      <c r="I36" s="35">
        <f t="shared" si="0"/>
        <v>50000</v>
      </c>
      <c r="J36" s="36">
        <f t="shared" si="1"/>
        <v>0</v>
      </c>
      <c r="K36" s="48" t="s">
        <v>83</v>
      </c>
      <c r="L36" s="48" t="s">
        <v>83</v>
      </c>
      <c r="M36" s="38">
        <v>41820</v>
      </c>
      <c r="N36" s="48"/>
      <c r="O36" s="35">
        <v>50000</v>
      </c>
      <c r="P36" s="35"/>
      <c r="Q36" s="35"/>
      <c r="R36" s="35"/>
      <c r="S36" s="41"/>
    </row>
    <row r="37" spans="1:19" s="15" customFormat="1" ht="26.25" customHeight="1" x14ac:dyDescent="0.2">
      <c r="A37" s="43" t="s">
        <v>900</v>
      </c>
      <c r="B37" s="46" t="s">
        <v>904</v>
      </c>
      <c r="C37" s="44" t="s">
        <v>908</v>
      </c>
      <c r="D37" s="47" t="s">
        <v>912</v>
      </c>
      <c r="E37" s="46" t="s">
        <v>916</v>
      </c>
      <c r="F37" s="35">
        <v>7500</v>
      </c>
      <c r="G37" s="35">
        <v>15000</v>
      </c>
      <c r="H37" s="35">
        <f>10000+7500</f>
        <v>17500</v>
      </c>
      <c r="I37" s="35">
        <f t="shared" si="0"/>
        <v>32500</v>
      </c>
      <c r="J37" s="36">
        <f t="shared" si="1"/>
        <v>1.1666666666666667</v>
      </c>
      <c r="K37" s="48" t="s">
        <v>83</v>
      </c>
      <c r="L37" s="48" t="s">
        <v>83</v>
      </c>
      <c r="M37" s="38">
        <v>41820</v>
      </c>
      <c r="N37" s="48" t="s">
        <v>86</v>
      </c>
      <c r="O37" s="35">
        <v>7500</v>
      </c>
      <c r="P37" s="35"/>
      <c r="Q37" s="35"/>
      <c r="R37" s="35"/>
      <c r="S37" s="41"/>
    </row>
    <row r="38" spans="1:19" s="15" customFormat="1" ht="26.25" customHeight="1" x14ac:dyDescent="0.2">
      <c r="A38" s="43" t="s">
        <v>312</v>
      </c>
      <c r="B38" s="46" t="s">
        <v>159</v>
      </c>
      <c r="C38" s="44" t="s">
        <v>320</v>
      </c>
      <c r="D38" s="34">
        <v>7032</v>
      </c>
      <c r="E38" s="46" t="s">
        <v>330</v>
      </c>
      <c r="F38" s="35">
        <v>56715</v>
      </c>
      <c r="G38" s="40">
        <v>86640</v>
      </c>
      <c r="H38" s="35">
        <v>56715</v>
      </c>
      <c r="I38" s="35">
        <f t="shared" si="0"/>
        <v>143355</v>
      </c>
      <c r="J38" s="36">
        <f t="shared" si="1"/>
        <v>0.65460526315789469</v>
      </c>
      <c r="K38" s="48" t="s">
        <v>83</v>
      </c>
      <c r="L38" s="48" t="s">
        <v>83</v>
      </c>
      <c r="M38" s="38">
        <v>41820</v>
      </c>
      <c r="N38" s="48" t="s">
        <v>86</v>
      </c>
      <c r="O38" s="35">
        <v>56715</v>
      </c>
      <c r="P38" s="35"/>
      <c r="Q38" s="35"/>
      <c r="R38" s="35"/>
      <c r="S38" s="41"/>
    </row>
    <row r="39" spans="1:19" s="15" customFormat="1" ht="26.25" customHeight="1" x14ac:dyDescent="0.2">
      <c r="A39" s="43" t="s">
        <v>1056</v>
      </c>
      <c r="B39" s="46" t="s">
        <v>940</v>
      </c>
      <c r="C39" s="44" t="s">
        <v>320</v>
      </c>
      <c r="D39" s="47">
        <v>8391</v>
      </c>
      <c r="E39" s="46" t="s">
        <v>330</v>
      </c>
      <c r="F39" s="35">
        <v>42075</v>
      </c>
      <c r="G39" s="35">
        <v>86640</v>
      </c>
      <c r="H39" s="35">
        <f>56715+42075</f>
        <v>98790</v>
      </c>
      <c r="I39" s="35">
        <f t="shared" si="0"/>
        <v>185430</v>
      </c>
      <c r="J39" s="36">
        <f t="shared" si="1"/>
        <v>1.1402354570637119</v>
      </c>
      <c r="K39" s="48" t="s">
        <v>83</v>
      </c>
      <c r="L39" s="48" t="s">
        <v>83</v>
      </c>
      <c r="M39" s="38">
        <v>41820</v>
      </c>
      <c r="N39" s="48" t="s">
        <v>86</v>
      </c>
      <c r="O39" s="35">
        <v>42075</v>
      </c>
      <c r="P39" s="35"/>
      <c r="Q39" s="35"/>
      <c r="R39" s="35"/>
      <c r="S39" s="41"/>
    </row>
    <row r="40" spans="1:19" s="15" customFormat="1" ht="26.25" customHeight="1" x14ac:dyDescent="0.2">
      <c r="A40" s="43" t="s">
        <v>191</v>
      </c>
      <c r="B40" s="46" t="s">
        <v>47</v>
      </c>
      <c r="C40" s="44" t="s">
        <v>205</v>
      </c>
      <c r="D40" s="47" t="s">
        <v>214</v>
      </c>
      <c r="E40" s="46" t="s">
        <v>218</v>
      </c>
      <c r="F40" s="35">
        <v>99000</v>
      </c>
      <c r="G40" s="40">
        <v>99000</v>
      </c>
      <c r="H40" s="35">
        <v>0</v>
      </c>
      <c r="I40" s="35">
        <f t="shared" si="0"/>
        <v>99000</v>
      </c>
      <c r="J40" s="36">
        <f t="shared" si="1"/>
        <v>0</v>
      </c>
      <c r="K40" s="48" t="s">
        <v>83</v>
      </c>
      <c r="L40" s="48" t="s">
        <v>83</v>
      </c>
      <c r="M40" s="38">
        <v>41820</v>
      </c>
      <c r="N40" s="48"/>
      <c r="O40" s="35">
        <v>99000</v>
      </c>
      <c r="P40" s="35"/>
      <c r="Q40" s="35"/>
      <c r="R40" s="35"/>
      <c r="S40" s="41"/>
    </row>
    <row r="41" spans="1:19" s="15" customFormat="1" ht="26.25" customHeight="1" x14ac:dyDescent="0.2">
      <c r="A41" s="43" t="s">
        <v>426</v>
      </c>
      <c r="B41" s="46" t="s">
        <v>40</v>
      </c>
      <c r="C41" s="44" t="s">
        <v>440</v>
      </c>
      <c r="D41" s="34">
        <v>7154</v>
      </c>
      <c r="E41" s="46" t="s">
        <v>432</v>
      </c>
      <c r="F41" s="35">
        <f>25000*3</f>
        <v>75000</v>
      </c>
      <c r="G41" s="40">
        <f>25000*3</f>
        <v>75000</v>
      </c>
      <c r="H41" s="35">
        <v>0</v>
      </c>
      <c r="I41" s="35">
        <f t="shared" si="0"/>
        <v>75000</v>
      </c>
      <c r="J41" s="36">
        <f t="shared" si="1"/>
        <v>0</v>
      </c>
      <c r="K41" s="48" t="s">
        <v>83</v>
      </c>
      <c r="L41" s="48" t="s">
        <v>83</v>
      </c>
      <c r="M41" s="38">
        <v>41912</v>
      </c>
      <c r="N41" s="48" t="s">
        <v>84</v>
      </c>
      <c r="O41" s="35">
        <v>25000</v>
      </c>
      <c r="P41" s="35">
        <v>25000</v>
      </c>
      <c r="Q41" s="35">
        <v>25000</v>
      </c>
      <c r="R41" s="35"/>
      <c r="S41" s="41"/>
    </row>
    <row r="42" spans="1:19" s="15" customFormat="1" ht="26.25" customHeight="1" x14ac:dyDescent="0.2">
      <c r="A42" s="43" t="s">
        <v>228</v>
      </c>
      <c r="B42" s="46" t="s">
        <v>40</v>
      </c>
      <c r="C42" s="44" t="s">
        <v>233</v>
      </c>
      <c r="D42" s="34">
        <v>6959</v>
      </c>
      <c r="E42" s="46" t="s">
        <v>239</v>
      </c>
      <c r="F42" s="35">
        <v>8730</v>
      </c>
      <c r="G42" s="40">
        <v>8730</v>
      </c>
      <c r="H42" s="35">
        <v>0</v>
      </c>
      <c r="I42" s="35">
        <f t="shared" si="0"/>
        <v>8730</v>
      </c>
      <c r="J42" s="36">
        <f t="shared" si="1"/>
        <v>0</v>
      </c>
      <c r="K42" s="48" t="s">
        <v>83</v>
      </c>
      <c r="L42" s="48" t="s">
        <v>85</v>
      </c>
      <c r="M42" s="38">
        <v>41547</v>
      </c>
      <c r="N42" s="37"/>
      <c r="O42" s="35">
        <v>8730</v>
      </c>
      <c r="P42" s="35"/>
      <c r="Q42" s="35"/>
      <c r="R42" s="35"/>
      <c r="S42" s="41"/>
    </row>
    <row r="43" spans="1:19" s="15" customFormat="1" ht="26.25" customHeight="1" x14ac:dyDescent="0.2">
      <c r="A43" s="43" t="s">
        <v>627</v>
      </c>
      <c r="B43" s="46" t="s">
        <v>40</v>
      </c>
      <c r="C43" s="44" t="s">
        <v>233</v>
      </c>
      <c r="D43" s="47">
        <v>7673</v>
      </c>
      <c r="E43" s="46" t="s">
        <v>636</v>
      </c>
      <c r="F43" s="35">
        <v>9000</v>
      </c>
      <c r="G43" s="40">
        <v>9000</v>
      </c>
      <c r="H43" s="35">
        <v>0</v>
      </c>
      <c r="I43" s="35">
        <f t="shared" si="0"/>
        <v>9000</v>
      </c>
      <c r="J43" s="36">
        <f t="shared" si="1"/>
        <v>0</v>
      </c>
      <c r="K43" s="48" t="s">
        <v>83</v>
      </c>
      <c r="L43" s="48" t="s">
        <v>85</v>
      </c>
      <c r="M43" s="38">
        <v>41670</v>
      </c>
      <c r="N43" s="48"/>
      <c r="O43" s="35">
        <v>9000</v>
      </c>
      <c r="P43" s="35"/>
      <c r="Q43" s="35"/>
      <c r="R43" s="35"/>
      <c r="S43" s="41"/>
    </row>
    <row r="44" spans="1:19" s="15" customFormat="1" ht="26.25" customHeight="1" x14ac:dyDescent="0.2">
      <c r="A44" s="43" t="s">
        <v>650</v>
      </c>
      <c r="B44" s="46" t="s">
        <v>159</v>
      </c>
      <c r="C44" s="44" t="s">
        <v>653</v>
      </c>
      <c r="D44" s="47" t="s">
        <v>655</v>
      </c>
      <c r="E44" s="46" t="s">
        <v>652</v>
      </c>
      <c r="F44" s="35">
        <v>84000</v>
      </c>
      <c r="G44" s="40">
        <v>15000</v>
      </c>
      <c r="H44" s="35">
        <v>84000</v>
      </c>
      <c r="I44" s="35">
        <f t="shared" si="0"/>
        <v>99000</v>
      </c>
      <c r="J44" s="36">
        <f t="shared" si="1"/>
        <v>5.6</v>
      </c>
      <c r="K44" s="48" t="s">
        <v>83</v>
      </c>
      <c r="L44" s="48" t="s">
        <v>83</v>
      </c>
      <c r="M44" s="38">
        <v>41820</v>
      </c>
      <c r="N44" s="48" t="s">
        <v>86</v>
      </c>
      <c r="O44" s="35">
        <v>84000</v>
      </c>
      <c r="P44" s="35"/>
      <c r="Q44" s="35"/>
      <c r="R44" s="35"/>
      <c r="S44" s="41"/>
    </row>
    <row r="45" spans="1:19" s="15" customFormat="1" ht="26.25" customHeight="1" x14ac:dyDescent="0.2">
      <c r="A45" s="43" t="s">
        <v>682</v>
      </c>
      <c r="B45" s="46" t="s">
        <v>159</v>
      </c>
      <c r="C45" s="44" t="s">
        <v>708</v>
      </c>
      <c r="D45" s="47">
        <v>7802</v>
      </c>
      <c r="E45" s="46" t="s">
        <v>698</v>
      </c>
      <c r="F45" s="35">
        <v>17000</v>
      </c>
      <c r="G45" s="40">
        <v>17000</v>
      </c>
      <c r="H45" s="35">
        <v>0</v>
      </c>
      <c r="I45" s="35">
        <f t="shared" si="0"/>
        <v>17000</v>
      </c>
      <c r="J45" s="36">
        <f t="shared" si="1"/>
        <v>0</v>
      </c>
      <c r="K45" s="48" t="s">
        <v>83</v>
      </c>
      <c r="L45" s="48" t="s">
        <v>85</v>
      </c>
      <c r="M45" s="38">
        <v>41820</v>
      </c>
      <c r="N45" s="48"/>
      <c r="O45" s="35">
        <v>17000</v>
      </c>
      <c r="P45" s="35"/>
      <c r="Q45" s="35"/>
      <c r="R45" s="35"/>
      <c r="S45" s="41"/>
    </row>
    <row r="46" spans="1:19" s="15" customFormat="1" ht="26.25" customHeight="1" x14ac:dyDescent="0.2">
      <c r="A46" s="43" t="s">
        <v>674</v>
      </c>
      <c r="B46" s="46" t="s">
        <v>39</v>
      </c>
      <c r="C46" s="44" t="s">
        <v>703</v>
      </c>
      <c r="D46" s="47" t="s">
        <v>713</v>
      </c>
      <c r="E46" s="46" t="s">
        <v>690</v>
      </c>
      <c r="F46" s="35">
        <v>5000</v>
      </c>
      <c r="G46" s="40">
        <v>28865</v>
      </c>
      <c r="H46" s="35">
        <v>5000</v>
      </c>
      <c r="I46" s="35">
        <f t="shared" si="0"/>
        <v>33865</v>
      </c>
      <c r="J46" s="36">
        <f t="shared" si="1"/>
        <v>0.17322016282695304</v>
      </c>
      <c r="K46" s="48" t="s">
        <v>83</v>
      </c>
      <c r="L46" s="48" t="s">
        <v>83</v>
      </c>
      <c r="M46" s="38">
        <v>41820</v>
      </c>
      <c r="N46" s="48" t="s">
        <v>86</v>
      </c>
      <c r="O46" s="35">
        <v>5000</v>
      </c>
      <c r="P46" s="35"/>
      <c r="Q46" s="35"/>
      <c r="R46" s="35"/>
      <c r="S46" s="41"/>
    </row>
    <row r="47" spans="1:19" s="15" customFormat="1" ht="26.25" customHeight="1" x14ac:dyDescent="0.2">
      <c r="A47" s="43" t="s">
        <v>788</v>
      </c>
      <c r="B47" s="46" t="s">
        <v>46</v>
      </c>
      <c r="C47" s="44" t="s">
        <v>791</v>
      </c>
      <c r="D47" s="47" t="s">
        <v>794</v>
      </c>
      <c r="E47" s="46" t="s">
        <v>795</v>
      </c>
      <c r="F47" s="35">
        <v>20000</v>
      </c>
      <c r="G47" s="40">
        <v>30000</v>
      </c>
      <c r="H47" s="35">
        <f>30000+20000</f>
        <v>50000</v>
      </c>
      <c r="I47" s="35">
        <f t="shared" si="0"/>
        <v>80000</v>
      </c>
      <c r="J47" s="36">
        <f t="shared" si="1"/>
        <v>1.6666666666666667</v>
      </c>
      <c r="K47" s="48" t="s">
        <v>83</v>
      </c>
      <c r="L47" s="48" t="s">
        <v>83</v>
      </c>
      <c r="M47" s="38">
        <v>41820</v>
      </c>
      <c r="N47" s="48" t="s">
        <v>86</v>
      </c>
      <c r="O47" s="35">
        <v>20000</v>
      </c>
      <c r="P47" s="35"/>
      <c r="Q47" s="35"/>
      <c r="R47" s="35"/>
      <c r="S47" s="41"/>
    </row>
    <row r="48" spans="1:19" s="15" customFormat="1" ht="26.25" customHeight="1" x14ac:dyDescent="0.2">
      <c r="A48" s="43" t="s">
        <v>642</v>
      </c>
      <c r="B48" s="46" t="s">
        <v>39</v>
      </c>
      <c r="C48" s="44" t="s">
        <v>649</v>
      </c>
      <c r="D48" s="47" t="s">
        <v>643</v>
      </c>
      <c r="E48" s="46" t="s">
        <v>645</v>
      </c>
      <c r="F48" s="35">
        <v>21500</v>
      </c>
      <c r="G48" s="40">
        <v>24000</v>
      </c>
      <c r="H48" s="35">
        <f>30111+24000+21500</f>
        <v>75611</v>
      </c>
      <c r="I48" s="35">
        <f t="shared" si="0"/>
        <v>99611</v>
      </c>
      <c r="J48" s="36">
        <f t="shared" si="1"/>
        <v>3.1504583333333334</v>
      </c>
      <c r="K48" s="48" t="s">
        <v>83</v>
      </c>
      <c r="L48" s="48" t="s">
        <v>83</v>
      </c>
      <c r="M48" s="38">
        <v>41820</v>
      </c>
      <c r="N48" s="48" t="s">
        <v>86</v>
      </c>
      <c r="O48" s="35">
        <v>21500</v>
      </c>
      <c r="P48" s="35"/>
      <c r="Q48" s="35"/>
      <c r="R48" s="35"/>
      <c r="S48" s="41"/>
    </row>
    <row r="49" spans="1:19" s="15" customFormat="1" ht="26.25" customHeight="1" x14ac:dyDescent="0.2">
      <c r="A49" s="43" t="s">
        <v>651</v>
      </c>
      <c r="B49" s="46" t="s">
        <v>46</v>
      </c>
      <c r="C49" s="44" t="s">
        <v>654</v>
      </c>
      <c r="D49" s="47">
        <v>7711</v>
      </c>
      <c r="E49" s="46" t="s">
        <v>863</v>
      </c>
      <c r="F49" s="40">
        <f>90000*3</f>
        <v>270000</v>
      </c>
      <c r="G49" s="40">
        <f>90000*3</f>
        <v>270000</v>
      </c>
      <c r="H49" s="35">
        <v>0</v>
      </c>
      <c r="I49" s="35">
        <f t="shared" si="0"/>
        <v>270000</v>
      </c>
      <c r="J49" s="36">
        <f t="shared" si="1"/>
        <v>0</v>
      </c>
      <c r="K49" s="48" t="s">
        <v>83</v>
      </c>
      <c r="L49" s="48" t="s">
        <v>83</v>
      </c>
      <c r="M49" s="38">
        <v>41820</v>
      </c>
      <c r="N49" s="48" t="s">
        <v>84</v>
      </c>
      <c r="O49" s="35">
        <v>90000</v>
      </c>
      <c r="P49" s="35">
        <v>90000</v>
      </c>
      <c r="Q49" s="35">
        <v>90000</v>
      </c>
      <c r="R49" s="35"/>
      <c r="S49" s="41"/>
    </row>
    <row r="50" spans="1:19" s="15" customFormat="1" ht="26.25" customHeight="1" x14ac:dyDescent="0.2">
      <c r="A50" s="43" t="s">
        <v>866</v>
      </c>
      <c r="B50" s="46" t="s">
        <v>875</v>
      </c>
      <c r="C50" s="44" t="s">
        <v>876</v>
      </c>
      <c r="D50" s="47" t="s">
        <v>880</v>
      </c>
      <c r="E50" s="46" t="s">
        <v>872</v>
      </c>
      <c r="F50" s="35">
        <f>25000+25000</f>
        <v>50000</v>
      </c>
      <c r="G50" s="35">
        <v>45000</v>
      </c>
      <c r="H50" s="35">
        <f>25000+25000</f>
        <v>50000</v>
      </c>
      <c r="I50" s="35">
        <f t="shared" si="0"/>
        <v>95000</v>
      </c>
      <c r="J50" s="36">
        <f t="shared" si="1"/>
        <v>1.1111111111111112</v>
      </c>
      <c r="K50" s="48" t="s">
        <v>83</v>
      </c>
      <c r="L50" s="48" t="s">
        <v>83</v>
      </c>
      <c r="M50" s="38">
        <v>41820</v>
      </c>
      <c r="N50" s="48" t="s">
        <v>86</v>
      </c>
      <c r="O50" s="35">
        <v>25000</v>
      </c>
      <c r="P50" s="35">
        <v>25000</v>
      </c>
      <c r="Q50" s="35"/>
      <c r="R50" s="35"/>
      <c r="S50" s="41"/>
    </row>
    <row r="51" spans="1:19" s="15" customFormat="1" ht="26.25" customHeight="1" x14ac:dyDescent="0.2">
      <c r="A51" s="43" t="s">
        <v>902</v>
      </c>
      <c r="B51" s="46" t="s">
        <v>39</v>
      </c>
      <c r="C51" s="44" t="s">
        <v>909</v>
      </c>
      <c r="D51" s="47">
        <v>8195</v>
      </c>
      <c r="E51" s="46" t="s">
        <v>918</v>
      </c>
      <c r="F51" s="35">
        <v>8884</v>
      </c>
      <c r="G51" s="35">
        <v>8884</v>
      </c>
      <c r="H51" s="35">
        <v>0</v>
      </c>
      <c r="I51" s="35">
        <f t="shared" si="0"/>
        <v>8884</v>
      </c>
      <c r="J51" s="36">
        <f t="shared" si="1"/>
        <v>0</v>
      </c>
      <c r="K51" s="48" t="s">
        <v>83</v>
      </c>
      <c r="L51" s="48" t="s">
        <v>85</v>
      </c>
      <c r="M51" s="38">
        <v>41746</v>
      </c>
      <c r="N51" s="48"/>
      <c r="O51" s="35">
        <v>8884</v>
      </c>
      <c r="P51" s="35"/>
      <c r="Q51" s="35"/>
      <c r="R51" s="35"/>
      <c r="S51" s="41"/>
    </row>
    <row r="52" spans="1:19" s="15" customFormat="1" ht="18" customHeight="1" x14ac:dyDescent="0.2">
      <c r="A52" s="43" t="s">
        <v>489</v>
      </c>
      <c r="B52" s="46" t="s">
        <v>315</v>
      </c>
      <c r="C52" s="44" t="s">
        <v>519</v>
      </c>
      <c r="D52" s="47">
        <v>7073</v>
      </c>
      <c r="E52" s="46" t="s">
        <v>514</v>
      </c>
      <c r="F52" s="35">
        <v>6389</v>
      </c>
      <c r="G52" s="40">
        <v>6389</v>
      </c>
      <c r="H52" s="35">
        <v>0</v>
      </c>
      <c r="I52" s="35">
        <f t="shared" si="0"/>
        <v>6389</v>
      </c>
      <c r="J52" s="36">
        <f t="shared" si="1"/>
        <v>0</v>
      </c>
      <c r="K52" s="48" t="s">
        <v>83</v>
      </c>
      <c r="L52" s="48" t="s">
        <v>83</v>
      </c>
      <c r="M52" s="38">
        <v>41486</v>
      </c>
      <c r="N52" s="48"/>
      <c r="O52" s="35">
        <v>6389</v>
      </c>
      <c r="P52" s="35"/>
      <c r="Q52" s="35"/>
      <c r="R52" s="35"/>
      <c r="S52" s="41"/>
    </row>
    <row r="53" spans="1:19" s="15" customFormat="1" ht="26.25" customHeight="1" x14ac:dyDescent="0.2">
      <c r="A53" s="43" t="s">
        <v>840</v>
      </c>
      <c r="B53" s="46" t="s">
        <v>39</v>
      </c>
      <c r="C53" s="44" t="s">
        <v>849</v>
      </c>
      <c r="D53" s="47">
        <v>8086</v>
      </c>
      <c r="E53" s="46" t="s">
        <v>859</v>
      </c>
      <c r="F53" s="35">
        <v>10000</v>
      </c>
      <c r="G53" s="40">
        <v>10000</v>
      </c>
      <c r="H53" s="35">
        <v>0</v>
      </c>
      <c r="I53" s="35">
        <f t="shared" si="0"/>
        <v>10000</v>
      </c>
      <c r="J53" s="36">
        <f t="shared" si="1"/>
        <v>0</v>
      </c>
      <c r="K53" s="48" t="s">
        <v>83</v>
      </c>
      <c r="L53" s="48" t="s">
        <v>83</v>
      </c>
      <c r="M53" s="38">
        <v>41756</v>
      </c>
      <c r="N53" s="48"/>
      <c r="O53" s="35">
        <v>10000</v>
      </c>
      <c r="P53" s="35"/>
      <c r="Q53" s="35"/>
      <c r="R53" s="35"/>
      <c r="S53" s="41"/>
    </row>
    <row r="54" spans="1:19" s="15" customFormat="1" ht="38.25" customHeight="1" x14ac:dyDescent="0.2">
      <c r="A54" s="43" t="s">
        <v>344</v>
      </c>
      <c r="B54" s="46" t="s">
        <v>47</v>
      </c>
      <c r="C54" s="44" t="s">
        <v>369</v>
      </c>
      <c r="D54" s="47">
        <v>7171</v>
      </c>
      <c r="E54" s="46" t="s">
        <v>387</v>
      </c>
      <c r="F54" s="35">
        <v>25000</v>
      </c>
      <c r="G54" s="40">
        <v>25000</v>
      </c>
      <c r="H54" s="35">
        <v>0</v>
      </c>
      <c r="I54" s="35">
        <f t="shared" si="0"/>
        <v>25000</v>
      </c>
      <c r="J54" s="36">
        <f t="shared" si="1"/>
        <v>0</v>
      </c>
      <c r="K54" s="48" t="s">
        <v>83</v>
      </c>
      <c r="L54" s="48" t="s">
        <v>83</v>
      </c>
      <c r="M54" s="38">
        <v>41820</v>
      </c>
      <c r="N54" s="48"/>
      <c r="O54" s="35">
        <v>25000</v>
      </c>
      <c r="P54" s="35"/>
      <c r="Q54" s="35"/>
      <c r="R54" s="35"/>
      <c r="S54" s="41"/>
    </row>
    <row r="55" spans="1:19" s="15" customFormat="1" ht="26.25" customHeight="1" x14ac:dyDescent="0.2">
      <c r="A55" s="43" t="s">
        <v>954</v>
      </c>
      <c r="B55" s="46" t="s">
        <v>940</v>
      </c>
      <c r="C55" s="44" t="s">
        <v>959</v>
      </c>
      <c r="D55" s="47">
        <v>8258</v>
      </c>
      <c r="E55" s="46" t="s">
        <v>967</v>
      </c>
      <c r="F55" s="35">
        <f>5055+6000+6500</f>
        <v>17555</v>
      </c>
      <c r="G55" s="35">
        <f>5055+6000+6500</f>
        <v>17555</v>
      </c>
      <c r="H55" s="35">
        <v>0</v>
      </c>
      <c r="I55" s="35">
        <f t="shared" si="0"/>
        <v>17555</v>
      </c>
      <c r="J55" s="36">
        <f t="shared" si="1"/>
        <v>0</v>
      </c>
      <c r="K55" s="48" t="s">
        <v>83</v>
      </c>
      <c r="L55" s="48" t="s">
        <v>83</v>
      </c>
      <c r="M55" s="38">
        <v>42137</v>
      </c>
      <c r="N55" s="48" t="s">
        <v>84</v>
      </c>
      <c r="O55" s="35">
        <v>5055</v>
      </c>
      <c r="P55" s="35">
        <v>6000</v>
      </c>
      <c r="Q55" s="35">
        <v>6500</v>
      </c>
      <c r="R55" s="35"/>
      <c r="S55" s="41"/>
    </row>
    <row r="56" spans="1:19" s="15" customFormat="1" ht="26.25" customHeight="1" x14ac:dyDescent="0.2">
      <c r="A56" s="43" t="s">
        <v>801</v>
      </c>
      <c r="B56" s="46" t="s">
        <v>46</v>
      </c>
      <c r="C56" s="44" t="s">
        <v>805</v>
      </c>
      <c r="D56" s="47">
        <v>7924</v>
      </c>
      <c r="E56" s="46" t="s">
        <v>808</v>
      </c>
      <c r="F56" s="35">
        <v>6000</v>
      </c>
      <c r="G56" s="40">
        <v>6000</v>
      </c>
      <c r="H56" s="35">
        <v>0</v>
      </c>
      <c r="I56" s="35">
        <f t="shared" si="0"/>
        <v>6000</v>
      </c>
      <c r="J56" s="36">
        <f t="shared" si="1"/>
        <v>0</v>
      </c>
      <c r="K56" s="48" t="s">
        <v>83</v>
      </c>
      <c r="L56" s="48" t="s">
        <v>83</v>
      </c>
      <c r="M56" s="38">
        <v>41698</v>
      </c>
      <c r="N56" s="48"/>
      <c r="O56" s="35">
        <v>6000</v>
      </c>
      <c r="P56" s="35"/>
      <c r="Q56" s="35"/>
      <c r="R56" s="35"/>
      <c r="S56" s="41"/>
    </row>
    <row r="57" spans="1:19" s="15" customFormat="1" ht="26.25" customHeight="1" x14ac:dyDescent="0.2">
      <c r="A57" s="43" t="s">
        <v>493</v>
      </c>
      <c r="B57" s="46" t="s">
        <v>39</v>
      </c>
      <c r="C57" s="44" t="s">
        <v>522</v>
      </c>
      <c r="D57" s="47">
        <v>7334</v>
      </c>
      <c r="E57" s="46" t="s">
        <v>506</v>
      </c>
      <c r="F57" s="35">
        <v>7125</v>
      </c>
      <c r="G57" s="40">
        <v>7125</v>
      </c>
      <c r="H57" s="35">
        <v>0</v>
      </c>
      <c r="I57" s="35">
        <f t="shared" si="0"/>
        <v>7125</v>
      </c>
      <c r="J57" s="36">
        <f t="shared" si="1"/>
        <v>0</v>
      </c>
      <c r="K57" s="48" t="s">
        <v>83</v>
      </c>
      <c r="L57" s="48" t="s">
        <v>83</v>
      </c>
      <c r="M57" s="38">
        <v>41561</v>
      </c>
      <c r="N57" s="48"/>
      <c r="O57" s="35">
        <v>7125</v>
      </c>
      <c r="P57" s="35"/>
      <c r="Q57" s="35"/>
      <c r="R57" s="35"/>
      <c r="S57" s="41"/>
    </row>
    <row r="58" spans="1:19" s="15" customFormat="1" ht="18" customHeight="1" x14ac:dyDescent="0.2">
      <c r="A58" s="43" t="s">
        <v>803</v>
      </c>
      <c r="B58" s="46" t="s">
        <v>44</v>
      </c>
      <c r="C58" s="44" t="s">
        <v>806</v>
      </c>
      <c r="D58" s="47">
        <v>7980</v>
      </c>
      <c r="E58" s="46" t="s">
        <v>809</v>
      </c>
      <c r="F58" s="35">
        <f>7000+7000</f>
        <v>14000</v>
      </c>
      <c r="G58" s="40">
        <v>7000</v>
      </c>
      <c r="H58" s="35">
        <f>7000+7000</f>
        <v>14000</v>
      </c>
      <c r="I58" s="35">
        <f t="shared" si="0"/>
        <v>21000</v>
      </c>
      <c r="J58" s="36">
        <f t="shared" si="1"/>
        <v>2</v>
      </c>
      <c r="K58" s="48" t="s">
        <v>83</v>
      </c>
      <c r="L58" s="48" t="s">
        <v>83</v>
      </c>
      <c r="M58" s="38">
        <v>41820</v>
      </c>
      <c r="N58" s="48" t="s">
        <v>84</v>
      </c>
      <c r="O58" s="35">
        <v>7000</v>
      </c>
      <c r="P58" s="35">
        <v>7000</v>
      </c>
      <c r="Q58" s="35"/>
      <c r="R58" s="35"/>
      <c r="S58" s="41"/>
    </row>
    <row r="59" spans="1:19" s="15" customFormat="1" ht="26.25" customHeight="1" x14ac:dyDescent="0.2">
      <c r="A59" s="43" t="s">
        <v>828</v>
      </c>
      <c r="B59" s="46" t="s">
        <v>94</v>
      </c>
      <c r="C59" s="44" t="s">
        <v>830</v>
      </c>
      <c r="D59" s="47">
        <v>8042</v>
      </c>
      <c r="E59" s="46" t="s">
        <v>832</v>
      </c>
      <c r="F59" s="35">
        <f>99000*3</f>
        <v>297000</v>
      </c>
      <c r="G59" s="40">
        <f>99000*3</f>
        <v>297000</v>
      </c>
      <c r="H59" s="35">
        <v>0</v>
      </c>
      <c r="I59" s="35">
        <f t="shared" si="0"/>
        <v>297000</v>
      </c>
      <c r="J59" s="36">
        <f t="shared" si="1"/>
        <v>0</v>
      </c>
      <c r="K59" s="48" t="s">
        <v>83</v>
      </c>
      <c r="L59" s="48" t="s">
        <v>83</v>
      </c>
      <c r="M59" s="38">
        <v>41820</v>
      </c>
      <c r="N59" s="48" t="s">
        <v>84</v>
      </c>
      <c r="O59" s="35">
        <v>99000</v>
      </c>
      <c r="P59" s="35">
        <v>99000</v>
      </c>
      <c r="Q59" s="35">
        <v>99000</v>
      </c>
      <c r="R59" s="35"/>
      <c r="S59" s="41"/>
    </row>
    <row r="60" spans="1:19" s="15" customFormat="1" ht="26.25" customHeight="1" x14ac:dyDescent="0.2">
      <c r="A60" s="43" t="s">
        <v>362</v>
      </c>
      <c r="B60" s="46" t="s">
        <v>47</v>
      </c>
      <c r="C60" s="44" t="s">
        <v>383</v>
      </c>
      <c r="D60" s="47">
        <v>7172</v>
      </c>
      <c r="E60" s="46" t="s">
        <v>338</v>
      </c>
      <c r="F60" s="35">
        <v>25000</v>
      </c>
      <c r="G60" s="40">
        <v>25000</v>
      </c>
      <c r="H60" s="35">
        <v>0</v>
      </c>
      <c r="I60" s="35">
        <f t="shared" si="0"/>
        <v>25000</v>
      </c>
      <c r="J60" s="36">
        <f t="shared" si="1"/>
        <v>0</v>
      </c>
      <c r="K60" s="48" t="s">
        <v>83</v>
      </c>
      <c r="L60" s="48" t="s">
        <v>83</v>
      </c>
      <c r="M60" s="38">
        <v>41820</v>
      </c>
      <c r="N60" s="48"/>
      <c r="O60" s="35">
        <v>25000</v>
      </c>
      <c r="P60" s="35"/>
      <c r="Q60" s="35"/>
      <c r="R60" s="35"/>
      <c r="S60" s="41"/>
    </row>
    <row r="61" spans="1:19" s="15" customFormat="1" ht="26.25" customHeight="1" x14ac:dyDescent="0.2">
      <c r="A61" s="43" t="s">
        <v>883</v>
      </c>
      <c r="B61" s="46" t="s">
        <v>46</v>
      </c>
      <c r="C61" s="44" t="s">
        <v>887</v>
      </c>
      <c r="D61" s="47">
        <v>8152</v>
      </c>
      <c r="E61" s="46" t="s">
        <v>892</v>
      </c>
      <c r="F61" s="35">
        <v>16735</v>
      </c>
      <c r="G61" s="35">
        <v>16735</v>
      </c>
      <c r="H61" s="35">
        <v>0</v>
      </c>
      <c r="I61" s="35">
        <f t="shared" si="0"/>
        <v>16735</v>
      </c>
      <c r="J61" s="36">
        <f t="shared" si="1"/>
        <v>0</v>
      </c>
      <c r="K61" s="48" t="s">
        <v>83</v>
      </c>
      <c r="L61" s="48" t="s">
        <v>85</v>
      </c>
      <c r="M61" s="38">
        <v>41943</v>
      </c>
      <c r="N61" s="48"/>
      <c r="O61" s="35">
        <v>16735</v>
      </c>
      <c r="P61" s="35"/>
      <c r="Q61" s="35"/>
      <c r="R61" s="35"/>
      <c r="S61" s="41"/>
    </row>
    <row r="62" spans="1:19" s="15" customFormat="1" ht="26.25" customHeight="1" x14ac:dyDescent="0.2">
      <c r="A62" s="43" t="s">
        <v>334</v>
      </c>
      <c r="B62" s="46" t="s">
        <v>47</v>
      </c>
      <c r="C62" s="44" t="s">
        <v>341</v>
      </c>
      <c r="D62" s="47">
        <v>7240</v>
      </c>
      <c r="E62" s="46" t="s">
        <v>337</v>
      </c>
      <c r="F62" s="35">
        <v>50000</v>
      </c>
      <c r="G62" s="40">
        <v>50000</v>
      </c>
      <c r="H62" s="35">
        <v>0</v>
      </c>
      <c r="I62" s="35">
        <f t="shared" si="0"/>
        <v>50000</v>
      </c>
      <c r="J62" s="36">
        <f t="shared" si="1"/>
        <v>0</v>
      </c>
      <c r="K62" s="48" t="s">
        <v>83</v>
      </c>
      <c r="L62" s="48" t="s">
        <v>83</v>
      </c>
      <c r="M62" s="38">
        <v>41820</v>
      </c>
      <c r="N62" s="48"/>
      <c r="O62" s="35">
        <v>50000</v>
      </c>
      <c r="P62" s="35"/>
      <c r="Q62" s="35"/>
      <c r="R62" s="35"/>
      <c r="S62" s="41"/>
    </row>
    <row r="63" spans="1:19" s="15" customFormat="1" ht="26.25" customHeight="1" x14ac:dyDescent="0.2">
      <c r="A63" s="43" t="s">
        <v>404</v>
      </c>
      <c r="B63" s="46" t="s">
        <v>405</v>
      </c>
      <c r="C63" s="44" t="s">
        <v>409</v>
      </c>
      <c r="D63" s="34">
        <v>7119</v>
      </c>
      <c r="E63" s="46" t="s">
        <v>399</v>
      </c>
      <c r="F63" s="35">
        <v>32209</v>
      </c>
      <c r="G63" s="40">
        <v>47869</v>
      </c>
      <c r="H63" s="35">
        <f>4800+32209</f>
        <v>37009</v>
      </c>
      <c r="I63" s="35">
        <f t="shared" si="0"/>
        <v>84878</v>
      </c>
      <c r="J63" s="36">
        <f t="shared" si="1"/>
        <v>0.77313083624057322</v>
      </c>
      <c r="K63" s="48" t="s">
        <v>83</v>
      </c>
      <c r="L63" s="48" t="s">
        <v>85</v>
      </c>
      <c r="M63" s="38">
        <v>41943</v>
      </c>
      <c r="N63" s="48" t="s">
        <v>86</v>
      </c>
      <c r="O63" s="35">
        <v>32209</v>
      </c>
      <c r="P63" s="35"/>
      <c r="Q63" s="35"/>
      <c r="R63" s="35"/>
      <c r="S63" s="41"/>
    </row>
    <row r="64" spans="1:19" s="15" customFormat="1" ht="26.25" customHeight="1" x14ac:dyDescent="0.2">
      <c r="A64" s="43" t="s">
        <v>926</v>
      </c>
      <c r="B64" s="46" t="s">
        <v>46</v>
      </c>
      <c r="C64" s="44" t="s">
        <v>409</v>
      </c>
      <c r="D64" s="47">
        <v>8207</v>
      </c>
      <c r="E64" s="46" t="s">
        <v>934</v>
      </c>
      <c r="F64" s="35">
        <f>30000*2</f>
        <v>60000</v>
      </c>
      <c r="G64" s="35">
        <v>20000</v>
      </c>
      <c r="H64" s="35">
        <f>30000*2</f>
        <v>60000</v>
      </c>
      <c r="I64" s="35">
        <f t="shared" si="0"/>
        <v>80000</v>
      </c>
      <c r="J64" s="36">
        <f t="shared" si="1"/>
        <v>3</v>
      </c>
      <c r="K64" s="48" t="s">
        <v>83</v>
      </c>
      <c r="L64" s="48" t="s">
        <v>83</v>
      </c>
      <c r="M64" s="38">
        <v>41820</v>
      </c>
      <c r="N64" s="48" t="s">
        <v>86</v>
      </c>
      <c r="O64" s="35">
        <v>30000</v>
      </c>
      <c r="P64" s="35">
        <v>30000</v>
      </c>
      <c r="Q64" s="35"/>
      <c r="R64" s="35"/>
      <c r="S64" s="41"/>
    </row>
    <row r="65" spans="1:19" s="15" customFormat="1" ht="26.25" customHeight="1" x14ac:dyDescent="0.2">
      <c r="A65" s="43" t="s">
        <v>166</v>
      </c>
      <c r="B65" s="46" t="s">
        <v>41</v>
      </c>
      <c r="C65" s="44" t="s">
        <v>173</v>
      </c>
      <c r="D65" s="34">
        <v>6567</v>
      </c>
      <c r="E65" s="46" t="s">
        <v>180</v>
      </c>
      <c r="F65" s="40">
        <f>14750*3</f>
        <v>44250</v>
      </c>
      <c r="G65" s="40">
        <f>14750*3</f>
        <v>44250</v>
      </c>
      <c r="H65" s="35">
        <v>0</v>
      </c>
      <c r="I65" s="35">
        <f t="shared" si="0"/>
        <v>44250</v>
      </c>
      <c r="J65" s="36">
        <f t="shared" si="1"/>
        <v>0</v>
      </c>
      <c r="K65" s="48" t="s">
        <v>83</v>
      </c>
      <c r="L65" s="48" t="s">
        <v>83</v>
      </c>
      <c r="M65" s="38">
        <v>41820</v>
      </c>
      <c r="N65" s="48" t="s">
        <v>84</v>
      </c>
      <c r="O65" s="41">
        <v>14750</v>
      </c>
      <c r="P65" s="41">
        <v>14750</v>
      </c>
      <c r="Q65" s="41">
        <v>14750</v>
      </c>
      <c r="R65" s="41"/>
      <c r="S65" s="41"/>
    </row>
    <row r="66" spans="1:19" s="15" customFormat="1" ht="26.25" customHeight="1" x14ac:dyDescent="0.2">
      <c r="A66" s="43" t="s">
        <v>1001</v>
      </c>
      <c r="B66" s="46" t="s">
        <v>1006</v>
      </c>
      <c r="C66" s="44" t="s">
        <v>1007</v>
      </c>
      <c r="D66" s="47" t="s">
        <v>1011</v>
      </c>
      <c r="E66" s="46" t="s">
        <v>1012</v>
      </c>
      <c r="F66" s="35">
        <f>10000*3</f>
        <v>30000</v>
      </c>
      <c r="G66" s="35">
        <f>10000*3</f>
        <v>30000</v>
      </c>
      <c r="H66" s="35">
        <v>0</v>
      </c>
      <c r="I66" s="35">
        <f t="shared" ref="I66:I129" si="2">G66+H66</f>
        <v>30000</v>
      </c>
      <c r="J66" s="36">
        <f t="shared" ref="J66:J129" si="3">IF(G66=0,100%,(I66-G66)/G66)</f>
        <v>0</v>
      </c>
      <c r="K66" s="48" t="s">
        <v>83</v>
      </c>
      <c r="L66" s="48" t="s">
        <v>83</v>
      </c>
      <c r="M66" s="38">
        <v>42136</v>
      </c>
      <c r="N66" s="48" t="s">
        <v>84</v>
      </c>
      <c r="O66" s="35">
        <v>10000</v>
      </c>
      <c r="P66" s="35">
        <v>10000</v>
      </c>
      <c r="Q66" s="35">
        <v>10000</v>
      </c>
      <c r="R66" s="35"/>
      <c r="S66" s="41"/>
    </row>
    <row r="67" spans="1:19" s="15" customFormat="1" ht="26.25" customHeight="1" x14ac:dyDescent="0.2">
      <c r="A67" s="43" t="s">
        <v>400</v>
      </c>
      <c r="B67" s="46" t="s">
        <v>42</v>
      </c>
      <c r="C67" s="44" t="s">
        <v>406</v>
      </c>
      <c r="D67" s="34">
        <v>6847</v>
      </c>
      <c r="E67" s="46" t="s">
        <v>395</v>
      </c>
      <c r="F67" s="35">
        <v>5059</v>
      </c>
      <c r="G67" s="40">
        <v>5059</v>
      </c>
      <c r="H67" s="35">
        <v>0</v>
      </c>
      <c r="I67" s="35">
        <f t="shared" si="2"/>
        <v>5059</v>
      </c>
      <c r="J67" s="36">
        <f t="shared" si="3"/>
        <v>0</v>
      </c>
      <c r="K67" s="48" t="s">
        <v>83</v>
      </c>
      <c r="L67" s="48" t="s">
        <v>83</v>
      </c>
      <c r="M67" s="38">
        <v>41516</v>
      </c>
      <c r="N67" s="48"/>
      <c r="O67" s="35">
        <v>5059</v>
      </c>
      <c r="P67" s="35"/>
      <c r="Q67" s="35"/>
      <c r="R67" s="35"/>
      <c r="S67" s="41"/>
    </row>
    <row r="68" spans="1:19" s="15" customFormat="1" ht="26.25" customHeight="1" x14ac:dyDescent="0.2">
      <c r="A68" s="43" t="s">
        <v>752</v>
      </c>
      <c r="B68" s="46" t="s">
        <v>159</v>
      </c>
      <c r="C68" s="44" t="s">
        <v>758</v>
      </c>
      <c r="D68" s="47">
        <v>7882</v>
      </c>
      <c r="E68" s="46" t="s">
        <v>766</v>
      </c>
      <c r="F68" s="35">
        <v>93300</v>
      </c>
      <c r="G68" s="40">
        <v>93300</v>
      </c>
      <c r="H68" s="35">
        <v>0</v>
      </c>
      <c r="I68" s="35">
        <f t="shared" si="2"/>
        <v>93300</v>
      </c>
      <c r="J68" s="36">
        <f t="shared" si="3"/>
        <v>0</v>
      </c>
      <c r="K68" s="48" t="s">
        <v>83</v>
      </c>
      <c r="L68" s="48" t="s">
        <v>83</v>
      </c>
      <c r="M68" s="38">
        <v>41820</v>
      </c>
      <c r="N68" s="48"/>
      <c r="O68" s="35">
        <v>93300</v>
      </c>
      <c r="P68" s="35"/>
      <c r="Q68" s="35"/>
      <c r="R68" s="35"/>
      <c r="S68" s="41"/>
    </row>
    <row r="69" spans="1:19" s="15" customFormat="1" ht="26.25" customHeight="1" x14ac:dyDescent="0.2">
      <c r="A69" s="43" t="s">
        <v>641</v>
      </c>
      <c r="B69" s="46" t="s">
        <v>39</v>
      </c>
      <c r="C69" s="44" t="s">
        <v>648</v>
      </c>
      <c r="D69" s="47">
        <v>7689</v>
      </c>
      <c r="E69" s="46" t="s">
        <v>646</v>
      </c>
      <c r="F69" s="35">
        <v>46311</v>
      </c>
      <c r="G69" s="40">
        <v>46311</v>
      </c>
      <c r="H69" s="35">
        <v>0</v>
      </c>
      <c r="I69" s="35">
        <f t="shared" si="2"/>
        <v>46311</v>
      </c>
      <c r="J69" s="36">
        <f t="shared" si="3"/>
        <v>0</v>
      </c>
      <c r="K69" s="48" t="s">
        <v>83</v>
      </c>
      <c r="L69" s="48" t="s">
        <v>83</v>
      </c>
      <c r="M69" s="38">
        <v>41729</v>
      </c>
      <c r="N69" s="48"/>
      <c r="O69" s="35">
        <v>46311</v>
      </c>
      <c r="P69" s="35"/>
      <c r="Q69" s="35"/>
      <c r="R69" s="35"/>
      <c r="S69" s="41"/>
    </row>
    <row r="70" spans="1:19" s="15" customFormat="1" ht="26.25" customHeight="1" x14ac:dyDescent="0.2">
      <c r="A70" s="43" t="s">
        <v>936</v>
      </c>
      <c r="B70" s="46" t="s">
        <v>39</v>
      </c>
      <c r="C70" s="44" t="s">
        <v>648</v>
      </c>
      <c r="D70" s="47">
        <v>8232</v>
      </c>
      <c r="E70" s="46" t="s">
        <v>946</v>
      </c>
      <c r="F70" s="35">
        <v>19600</v>
      </c>
      <c r="G70" s="35">
        <v>19600</v>
      </c>
      <c r="H70" s="35">
        <v>0</v>
      </c>
      <c r="I70" s="35">
        <f t="shared" si="2"/>
        <v>19600</v>
      </c>
      <c r="J70" s="36">
        <f t="shared" si="3"/>
        <v>0</v>
      </c>
      <c r="K70" s="48" t="s">
        <v>83</v>
      </c>
      <c r="L70" s="48" t="s">
        <v>83</v>
      </c>
      <c r="M70" s="38">
        <v>41754</v>
      </c>
      <c r="N70" s="48"/>
      <c r="O70" s="35">
        <v>19600</v>
      </c>
      <c r="P70" s="35"/>
      <c r="Q70" s="35"/>
      <c r="R70" s="35"/>
      <c r="S70" s="41"/>
    </row>
    <row r="71" spans="1:19" s="15" customFormat="1" ht="26.25" customHeight="1" x14ac:dyDescent="0.2">
      <c r="A71" s="43" t="s">
        <v>715</v>
      </c>
      <c r="B71" s="46" t="s">
        <v>46</v>
      </c>
      <c r="C71" s="44" t="s">
        <v>729</v>
      </c>
      <c r="D71" s="47">
        <v>7816</v>
      </c>
      <c r="E71" s="46" t="s">
        <v>739</v>
      </c>
      <c r="F71" s="35">
        <f>15000*3</f>
        <v>45000</v>
      </c>
      <c r="G71" s="40">
        <f>15000*3</f>
        <v>45000</v>
      </c>
      <c r="H71" s="35">
        <v>0</v>
      </c>
      <c r="I71" s="35">
        <f t="shared" si="2"/>
        <v>45000</v>
      </c>
      <c r="J71" s="36">
        <f t="shared" si="3"/>
        <v>0</v>
      </c>
      <c r="K71" s="48" t="s">
        <v>83</v>
      </c>
      <c r="L71" s="48" t="s">
        <v>83</v>
      </c>
      <c r="M71" s="38">
        <v>42035</v>
      </c>
      <c r="N71" s="48" t="s">
        <v>84</v>
      </c>
      <c r="O71" s="35">
        <v>15000</v>
      </c>
      <c r="P71" s="35">
        <v>15000</v>
      </c>
      <c r="Q71" s="35">
        <v>15000</v>
      </c>
      <c r="R71" s="35"/>
      <c r="S71" s="41"/>
    </row>
    <row r="72" spans="1:19" s="15" customFormat="1" ht="26.25" customHeight="1" x14ac:dyDescent="0.2">
      <c r="A72" s="43" t="s">
        <v>26</v>
      </c>
      <c r="B72" s="46" t="s">
        <v>43</v>
      </c>
      <c r="C72" s="44" t="s">
        <v>57</v>
      </c>
      <c r="D72" s="47">
        <v>6421</v>
      </c>
      <c r="E72" s="46" t="s">
        <v>74</v>
      </c>
      <c r="F72" s="35">
        <f>24000*2</f>
        <v>48000</v>
      </c>
      <c r="G72" s="40">
        <f>24000*2</f>
        <v>48000</v>
      </c>
      <c r="H72" s="35">
        <v>0</v>
      </c>
      <c r="I72" s="49">
        <f t="shared" si="2"/>
        <v>48000</v>
      </c>
      <c r="J72" s="51">
        <f t="shared" si="3"/>
        <v>0</v>
      </c>
      <c r="K72" s="48" t="s">
        <v>83</v>
      </c>
      <c r="L72" s="48" t="s">
        <v>83</v>
      </c>
      <c r="M72" s="38">
        <v>41820</v>
      </c>
      <c r="N72" s="48" t="s">
        <v>84</v>
      </c>
      <c r="O72" s="41">
        <v>24000</v>
      </c>
      <c r="P72" s="41">
        <v>24000</v>
      </c>
      <c r="Q72" s="41"/>
      <c r="R72" s="41"/>
      <c r="S72" s="41"/>
    </row>
    <row r="73" spans="1:19" s="15" customFormat="1" ht="26.25" customHeight="1" x14ac:dyDescent="0.2">
      <c r="A73" s="43" t="s">
        <v>1055</v>
      </c>
      <c r="B73" s="46" t="s">
        <v>94</v>
      </c>
      <c r="C73" s="44" t="s">
        <v>1064</v>
      </c>
      <c r="D73" s="47">
        <v>8341</v>
      </c>
      <c r="E73" s="46" t="s">
        <v>1072</v>
      </c>
      <c r="F73" s="35">
        <f>91350*2</f>
        <v>182700</v>
      </c>
      <c r="G73" s="35">
        <f>91350*2</f>
        <v>182700</v>
      </c>
      <c r="H73" s="35">
        <v>0</v>
      </c>
      <c r="I73" s="35">
        <f t="shared" si="2"/>
        <v>182700</v>
      </c>
      <c r="J73" s="36">
        <f t="shared" si="3"/>
        <v>0</v>
      </c>
      <c r="K73" s="48" t="s">
        <v>83</v>
      </c>
      <c r="L73" s="48" t="s">
        <v>83</v>
      </c>
      <c r="M73" s="38">
        <v>42185</v>
      </c>
      <c r="N73" s="48" t="s">
        <v>84</v>
      </c>
      <c r="O73" s="35"/>
      <c r="P73" s="35">
        <v>91350</v>
      </c>
      <c r="Q73" s="35">
        <v>91350</v>
      </c>
      <c r="R73" s="35"/>
      <c r="S73" s="41"/>
    </row>
    <row r="74" spans="1:19" s="15" customFormat="1" ht="26.25" customHeight="1" x14ac:dyDescent="0.2">
      <c r="A74" s="43" t="s">
        <v>425</v>
      </c>
      <c r="B74" s="46" t="s">
        <v>41</v>
      </c>
      <c r="C74" s="44" t="s">
        <v>439</v>
      </c>
      <c r="D74" s="34">
        <v>7150</v>
      </c>
      <c r="E74" s="46" t="s">
        <v>444</v>
      </c>
      <c r="F74" s="35">
        <v>6332</v>
      </c>
      <c r="G74" s="40">
        <v>6332</v>
      </c>
      <c r="H74" s="35">
        <v>0</v>
      </c>
      <c r="I74" s="35">
        <f t="shared" si="2"/>
        <v>6332</v>
      </c>
      <c r="J74" s="36">
        <f t="shared" si="3"/>
        <v>0</v>
      </c>
      <c r="K74" s="48" t="s">
        <v>83</v>
      </c>
      <c r="L74" s="48" t="s">
        <v>85</v>
      </c>
      <c r="M74" s="38">
        <v>41820</v>
      </c>
      <c r="N74" s="48"/>
      <c r="O74" s="35">
        <v>6332</v>
      </c>
      <c r="P74" s="35"/>
      <c r="Q74" s="35"/>
      <c r="R74" s="35"/>
      <c r="S74" s="41"/>
    </row>
    <row r="75" spans="1:19" s="15" customFormat="1" ht="26.25" customHeight="1" x14ac:dyDescent="0.2">
      <c r="A75" s="43" t="s">
        <v>584</v>
      </c>
      <c r="B75" s="46" t="s">
        <v>39</v>
      </c>
      <c r="C75" s="44" t="s">
        <v>439</v>
      </c>
      <c r="D75" s="47">
        <v>7560</v>
      </c>
      <c r="E75" s="46" t="s">
        <v>592</v>
      </c>
      <c r="F75" s="35">
        <v>5839</v>
      </c>
      <c r="G75" s="40">
        <v>5839</v>
      </c>
      <c r="H75" s="35">
        <v>0</v>
      </c>
      <c r="I75" s="35">
        <f t="shared" si="2"/>
        <v>5839</v>
      </c>
      <c r="J75" s="36">
        <f t="shared" si="3"/>
        <v>0</v>
      </c>
      <c r="K75" s="48" t="s">
        <v>83</v>
      </c>
      <c r="L75" s="48" t="s">
        <v>83</v>
      </c>
      <c r="M75" s="38">
        <v>41547</v>
      </c>
      <c r="N75" s="48"/>
      <c r="O75" s="35">
        <v>5839</v>
      </c>
      <c r="P75" s="35"/>
      <c r="Q75" s="35"/>
      <c r="R75" s="35"/>
      <c r="S75" s="41"/>
    </row>
    <row r="76" spans="1:19" s="15" customFormat="1" ht="26.25" customHeight="1" x14ac:dyDescent="0.2">
      <c r="A76" s="43" t="s">
        <v>270</v>
      </c>
      <c r="B76" s="46" t="s">
        <v>94</v>
      </c>
      <c r="C76" s="44" t="s">
        <v>284</v>
      </c>
      <c r="D76" s="34">
        <v>7008</v>
      </c>
      <c r="E76" s="46" t="s">
        <v>299</v>
      </c>
      <c r="F76" s="35">
        <f>25000*3</f>
        <v>75000</v>
      </c>
      <c r="G76" s="35">
        <f>25000*3</f>
        <v>75000</v>
      </c>
      <c r="H76" s="35">
        <v>0</v>
      </c>
      <c r="I76" s="35">
        <f t="shared" si="2"/>
        <v>75000</v>
      </c>
      <c r="J76" s="36">
        <f t="shared" si="3"/>
        <v>0</v>
      </c>
      <c r="K76" s="48" t="s">
        <v>83</v>
      </c>
      <c r="L76" s="48" t="s">
        <v>83</v>
      </c>
      <c r="M76" s="52">
        <v>41820</v>
      </c>
      <c r="N76" s="48" t="s">
        <v>84</v>
      </c>
      <c r="O76" s="35">
        <v>25000</v>
      </c>
      <c r="P76" s="35">
        <v>25000</v>
      </c>
      <c r="Q76" s="35">
        <v>25000</v>
      </c>
      <c r="R76" s="35"/>
      <c r="S76" s="41"/>
    </row>
    <row r="77" spans="1:19" s="15" customFormat="1" ht="26.25" customHeight="1" x14ac:dyDescent="0.2">
      <c r="A77" s="43" t="s">
        <v>247</v>
      </c>
      <c r="B77" s="46" t="s">
        <v>41</v>
      </c>
      <c r="C77" s="44" t="s">
        <v>254</v>
      </c>
      <c r="D77" s="34">
        <v>6884</v>
      </c>
      <c r="E77" s="46" t="s">
        <v>262</v>
      </c>
      <c r="F77" s="35">
        <v>11516</v>
      </c>
      <c r="G77" s="40">
        <v>11516</v>
      </c>
      <c r="H77" s="35">
        <v>0</v>
      </c>
      <c r="I77" s="35">
        <f t="shared" si="2"/>
        <v>11516</v>
      </c>
      <c r="J77" s="36">
        <f t="shared" si="3"/>
        <v>0</v>
      </c>
      <c r="K77" s="48" t="s">
        <v>83</v>
      </c>
      <c r="L77" s="48" t="s">
        <v>85</v>
      </c>
      <c r="M77" s="38">
        <v>41820</v>
      </c>
      <c r="N77" s="48"/>
      <c r="O77" s="35">
        <v>11516</v>
      </c>
      <c r="P77" s="35"/>
      <c r="Q77" s="35"/>
      <c r="R77" s="35"/>
      <c r="S77" s="41"/>
    </row>
    <row r="78" spans="1:19" s="15" customFormat="1" ht="26.25" customHeight="1" x14ac:dyDescent="0.2">
      <c r="A78" s="43" t="s">
        <v>549</v>
      </c>
      <c r="B78" s="46" t="s">
        <v>41</v>
      </c>
      <c r="C78" s="44" t="s">
        <v>254</v>
      </c>
      <c r="D78" s="47">
        <v>7433</v>
      </c>
      <c r="E78" s="46" t="s">
        <v>574</v>
      </c>
      <c r="F78" s="35">
        <v>10995</v>
      </c>
      <c r="G78" s="40">
        <v>10995</v>
      </c>
      <c r="H78" s="35">
        <v>0</v>
      </c>
      <c r="I78" s="35">
        <f t="shared" si="2"/>
        <v>10995</v>
      </c>
      <c r="J78" s="36">
        <f t="shared" si="3"/>
        <v>0</v>
      </c>
      <c r="K78" s="48" t="s">
        <v>83</v>
      </c>
      <c r="L78" s="48" t="s">
        <v>85</v>
      </c>
      <c r="M78" s="38">
        <v>41820</v>
      </c>
      <c r="N78" s="48"/>
      <c r="O78" s="35">
        <v>10995</v>
      </c>
      <c r="P78" s="35"/>
      <c r="Q78" s="35"/>
      <c r="R78" s="35"/>
      <c r="S78" s="41"/>
    </row>
    <row r="79" spans="1:19" s="15" customFormat="1" ht="26.25" customHeight="1" x14ac:dyDescent="0.2">
      <c r="A79" s="43" t="s">
        <v>679</v>
      </c>
      <c r="B79" s="46" t="s">
        <v>41</v>
      </c>
      <c r="C79" s="44" t="s">
        <v>254</v>
      </c>
      <c r="D79" s="47">
        <v>7795</v>
      </c>
      <c r="E79" s="46" t="s">
        <v>695</v>
      </c>
      <c r="F79" s="35">
        <v>11516</v>
      </c>
      <c r="G79" s="40">
        <v>11516</v>
      </c>
      <c r="H79" s="35">
        <v>0</v>
      </c>
      <c r="I79" s="35">
        <f t="shared" si="2"/>
        <v>11516</v>
      </c>
      <c r="J79" s="36">
        <f t="shared" si="3"/>
        <v>0</v>
      </c>
      <c r="K79" s="48" t="s">
        <v>83</v>
      </c>
      <c r="L79" s="48" t="s">
        <v>83</v>
      </c>
      <c r="M79" s="38">
        <v>41820</v>
      </c>
      <c r="N79" s="48"/>
      <c r="O79" s="35">
        <v>11516</v>
      </c>
      <c r="P79" s="35"/>
      <c r="Q79" s="35"/>
      <c r="R79" s="35"/>
      <c r="S79" s="41"/>
    </row>
    <row r="80" spans="1:19" s="15" customFormat="1" ht="26.25" customHeight="1" x14ac:dyDescent="0.2">
      <c r="A80" s="43" t="s">
        <v>723</v>
      </c>
      <c r="B80" s="46" t="s">
        <v>41</v>
      </c>
      <c r="C80" s="44" t="s">
        <v>254</v>
      </c>
      <c r="D80" s="47">
        <v>7881</v>
      </c>
      <c r="E80" s="46" t="s">
        <v>744</v>
      </c>
      <c r="F80" s="35">
        <v>10963</v>
      </c>
      <c r="G80" s="40">
        <v>10963</v>
      </c>
      <c r="H80" s="35">
        <v>0</v>
      </c>
      <c r="I80" s="35">
        <f t="shared" si="2"/>
        <v>10963</v>
      </c>
      <c r="J80" s="36">
        <f t="shared" si="3"/>
        <v>0</v>
      </c>
      <c r="K80" s="48" t="s">
        <v>83</v>
      </c>
      <c r="L80" s="48" t="s">
        <v>85</v>
      </c>
      <c r="M80" s="38">
        <v>41820</v>
      </c>
      <c r="N80" s="48"/>
      <c r="O80" s="35">
        <v>10963</v>
      </c>
      <c r="P80" s="35"/>
      <c r="Q80" s="35"/>
      <c r="R80" s="35"/>
      <c r="S80" s="41"/>
    </row>
    <row r="81" spans="1:19" s="15" customFormat="1" ht="26.25" customHeight="1" x14ac:dyDescent="0.2">
      <c r="A81" s="43" t="s">
        <v>835</v>
      </c>
      <c r="B81" s="46" t="s">
        <v>41</v>
      </c>
      <c r="C81" s="44" t="s">
        <v>254</v>
      </c>
      <c r="D81" s="47">
        <v>8050</v>
      </c>
      <c r="E81" s="46" t="s">
        <v>855</v>
      </c>
      <c r="F81" s="35">
        <v>11516</v>
      </c>
      <c r="G81" s="40">
        <v>11516</v>
      </c>
      <c r="H81" s="35">
        <v>0</v>
      </c>
      <c r="I81" s="35">
        <f t="shared" si="2"/>
        <v>11516</v>
      </c>
      <c r="J81" s="36">
        <f t="shared" si="3"/>
        <v>0</v>
      </c>
      <c r="K81" s="48" t="s">
        <v>83</v>
      </c>
      <c r="L81" s="48" t="s">
        <v>85</v>
      </c>
      <c r="M81" s="38">
        <v>41820</v>
      </c>
      <c r="N81" s="48"/>
      <c r="O81" s="35">
        <v>11516</v>
      </c>
      <c r="P81" s="35"/>
      <c r="Q81" s="35"/>
      <c r="R81" s="35"/>
      <c r="S81" s="41"/>
    </row>
    <row r="82" spans="1:19" s="15" customFormat="1" ht="26.25" customHeight="1" x14ac:dyDescent="0.2">
      <c r="A82" s="43" t="s">
        <v>120</v>
      </c>
      <c r="B82" s="46" t="s">
        <v>124</v>
      </c>
      <c r="C82" s="44" t="s">
        <v>131</v>
      </c>
      <c r="D82" s="47">
        <v>6583</v>
      </c>
      <c r="E82" s="46" t="s">
        <v>139</v>
      </c>
      <c r="F82" s="35">
        <v>95000</v>
      </c>
      <c r="G82" s="40">
        <v>95000</v>
      </c>
      <c r="H82" s="35">
        <v>0</v>
      </c>
      <c r="I82" s="49">
        <f t="shared" si="2"/>
        <v>95000</v>
      </c>
      <c r="J82" s="51">
        <f t="shared" si="3"/>
        <v>0</v>
      </c>
      <c r="K82" s="48" t="s">
        <v>85</v>
      </c>
      <c r="L82" s="48" t="s">
        <v>85</v>
      </c>
      <c r="M82" s="38">
        <v>41820</v>
      </c>
      <c r="N82" s="48"/>
      <c r="O82" s="41">
        <v>95000</v>
      </c>
      <c r="P82" s="41"/>
      <c r="Q82" s="41"/>
      <c r="R82" s="41"/>
      <c r="S82" s="41"/>
    </row>
    <row r="83" spans="1:19" s="15" customFormat="1" ht="26.25" customHeight="1" x14ac:dyDescent="0.2">
      <c r="A83" s="43" t="s">
        <v>27</v>
      </c>
      <c r="B83" s="46" t="s">
        <v>44</v>
      </c>
      <c r="C83" s="44" t="s">
        <v>58</v>
      </c>
      <c r="D83" s="47">
        <v>6470</v>
      </c>
      <c r="E83" s="46" t="s">
        <v>75</v>
      </c>
      <c r="F83" s="35">
        <f>25000*3</f>
        <v>75000</v>
      </c>
      <c r="G83" s="40">
        <f>25000*3</f>
        <v>75000</v>
      </c>
      <c r="H83" s="35">
        <v>0</v>
      </c>
      <c r="I83" s="49">
        <f t="shared" si="2"/>
        <v>75000</v>
      </c>
      <c r="J83" s="51">
        <f t="shared" si="3"/>
        <v>0</v>
      </c>
      <c r="K83" s="48" t="s">
        <v>83</v>
      </c>
      <c r="L83" s="48" t="s">
        <v>83</v>
      </c>
      <c r="M83" s="38">
        <v>41820</v>
      </c>
      <c r="N83" s="48" t="s">
        <v>84</v>
      </c>
      <c r="O83" s="41">
        <v>25000</v>
      </c>
      <c r="P83" s="41">
        <v>25000</v>
      </c>
      <c r="Q83" s="41">
        <v>25000</v>
      </c>
      <c r="R83" s="41"/>
      <c r="S83" s="41"/>
    </row>
    <row r="84" spans="1:19" s="15" customFormat="1" ht="26.25" customHeight="1" x14ac:dyDescent="0.2">
      <c r="A84" s="43" t="s">
        <v>153</v>
      </c>
      <c r="B84" s="46" t="s">
        <v>46</v>
      </c>
      <c r="C84" s="44" t="s">
        <v>154</v>
      </c>
      <c r="D84" s="47" t="s">
        <v>65</v>
      </c>
      <c r="E84" s="55" t="s">
        <v>155</v>
      </c>
      <c r="F84" s="35">
        <v>24170</v>
      </c>
      <c r="G84" s="40">
        <v>702341</v>
      </c>
      <c r="H84" s="35">
        <f>93800+24170</f>
        <v>117970</v>
      </c>
      <c r="I84" s="35">
        <f t="shared" si="2"/>
        <v>820311</v>
      </c>
      <c r="J84" s="36">
        <f t="shared" si="3"/>
        <v>0.16796684231733588</v>
      </c>
      <c r="K84" s="48" t="s">
        <v>83</v>
      </c>
      <c r="L84" s="48" t="s">
        <v>83</v>
      </c>
      <c r="M84" s="52">
        <v>41554</v>
      </c>
      <c r="N84" s="48" t="s">
        <v>86</v>
      </c>
      <c r="O84" s="41">
        <v>24170</v>
      </c>
      <c r="P84" s="41"/>
      <c r="Q84" s="41"/>
      <c r="R84" s="41"/>
      <c r="S84" s="41"/>
    </row>
    <row r="85" spans="1:19" s="15" customFormat="1" ht="26.25" customHeight="1" x14ac:dyDescent="0.2">
      <c r="A85" s="43" t="s">
        <v>1054</v>
      </c>
      <c r="B85" s="46" t="s">
        <v>40</v>
      </c>
      <c r="C85" s="44" t="s">
        <v>1063</v>
      </c>
      <c r="D85" s="47">
        <v>8323</v>
      </c>
      <c r="E85" s="46" t="s">
        <v>1071</v>
      </c>
      <c r="F85" s="35">
        <f>90000*3</f>
        <v>270000</v>
      </c>
      <c r="G85" s="35">
        <f>90000*3</f>
        <v>270000</v>
      </c>
      <c r="H85" s="35">
        <v>0</v>
      </c>
      <c r="I85" s="35">
        <f t="shared" si="2"/>
        <v>270000</v>
      </c>
      <c r="J85" s="36">
        <f t="shared" si="3"/>
        <v>0</v>
      </c>
      <c r="K85" s="48" t="s">
        <v>83</v>
      </c>
      <c r="L85" s="48" t="s">
        <v>85</v>
      </c>
      <c r="M85" s="38">
        <v>42185</v>
      </c>
      <c r="N85" s="48" t="s">
        <v>84</v>
      </c>
      <c r="O85" s="35"/>
      <c r="P85" s="35">
        <v>90000</v>
      </c>
      <c r="Q85" s="35">
        <v>90000</v>
      </c>
      <c r="R85" s="35">
        <v>90000</v>
      </c>
      <c r="S85" s="41"/>
    </row>
    <row r="86" spans="1:19" s="15" customFormat="1" ht="26.25" customHeight="1" x14ac:dyDescent="0.2">
      <c r="A86" s="43" t="s">
        <v>92</v>
      </c>
      <c r="B86" s="46" t="s">
        <v>95</v>
      </c>
      <c r="C86" s="44" t="s">
        <v>100</v>
      </c>
      <c r="D86" s="47" t="s">
        <v>107</v>
      </c>
      <c r="E86" s="46" t="s">
        <v>113</v>
      </c>
      <c r="F86" s="49">
        <v>27789</v>
      </c>
      <c r="G86" s="50">
        <v>24043</v>
      </c>
      <c r="H86" s="49">
        <v>27789</v>
      </c>
      <c r="I86" s="49">
        <f t="shared" si="2"/>
        <v>51832</v>
      </c>
      <c r="J86" s="51">
        <f t="shared" si="3"/>
        <v>1.1558041841700286</v>
      </c>
      <c r="K86" s="48" t="s">
        <v>83</v>
      </c>
      <c r="L86" s="48" t="s">
        <v>83</v>
      </c>
      <c r="M86" s="52">
        <v>42694</v>
      </c>
      <c r="N86" s="48" t="s">
        <v>86</v>
      </c>
      <c r="O86" s="41">
        <v>27789</v>
      </c>
      <c r="P86" s="41"/>
      <c r="Q86" s="41"/>
      <c r="R86" s="41"/>
      <c r="S86" s="41"/>
    </row>
    <row r="87" spans="1:19" s="15" customFormat="1" ht="26.25" customHeight="1" x14ac:dyDescent="0.2">
      <c r="A87" s="43" t="s">
        <v>242</v>
      </c>
      <c r="B87" s="46" t="s">
        <v>44</v>
      </c>
      <c r="C87" s="44" t="s">
        <v>250</v>
      </c>
      <c r="D87" s="34">
        <v>7199</v>
      </c>
      <c r="E87" s="46" t="s">
        <v>257</v>
      </c>
      <c r="F87" s="35">
        <v>41188</v>
      </c>
      <c r="G87" s="40">
        <v>41188</v>
      </c>
      <c r="H87" s="35">
        <v>0</v>
      </c>
      <c r="I87" s="35">
        <f t="shared" si="2"/>
        <v>41188</v>
      </c>
      <c r="J87" s="36">
        <f t="shared" si="3"/>
        <v>0</v>
      </c>
      <c r="K87" s="48" t="s">
        <v>83</v>
      </c>
      <c r="L87" s="48" t="s">
        <v>83</v>
      </c>
      <c r="M87" s="38">
        <v>41912</v>
      </c>
      <c r="N87" s="48"/>
      <c r="O87" s="35">
        <v>41188</v>
      </c>
      <c r="P87" s="35"/>
      <c r="Q87" s="35"/>
      <c r="R87" s="35"/>
      <c r="S87" s="41"/>
    </row>
    <row r="88" spans="1:19" s="15" customFormat="1" ht="26.25" customHeight="1" x14ac:dyDescent="0.2">
      <c r="A88" s="43" t="s">
        <v>532</v>
      </c>
      <c r="B88" s="46" t="s">
        <v>430</v>
      </c>
      <c r="C88" s="44" t="s">
        <v>536</v>
      </c>
      <c r="D88" s="34">
        <v>7397</v>
      </c>
      <c r="E88" s="46" t="s">
        <v>541</v>
      </c>
      <c r="F88" s="35">
        <f>96200*3</f>
        <v>288600</v>
      </c>
      <c r="G88" s="40">
        <f>96200*3</f>
        <v>288600</v>
      </c>
      <c r="H88" s="35">
        <v>0</v>
      </c>
      <c r="I88" s="35">
        <f t="shared" si="2"/>
        <v>288600</v>
      </c>
      <c r="J88" s="36">
        <f t="shared" si="3"/>
        <v>0</v>
      </c>
      <c r="K88" s="48" t="s">
        <v>83</v>
      </c>
      <c r="L88" s="48" t="s">
        <v>83</v>
      </c>
      <c r="M88" s="38">
        <v>41820</v>
      </c>
      <c r="N88" s="48" t="s">
        <v>84</v>
      </c>
      <c r="O88" s="35">
        <v>96200</v>
      </c>
      <c r="P88" s="35">
        <v>96200</v>
      </c>
      <c r="Q88" s="35">
        <v>96200</v>
      </c>
      <c r="R88" s="35"/>
      <c r="S88" s="41"/>
    </row>
    <row r="89" spans="1:19" s="15" customFormat="1" ht="26.25" customHeight="1" x14ac:dyDescent="0.2">
      <c r="A89" s="43" t="s">
        <v>123</v>
      </c>
      <c r="B89" s="46" t="s">
        <v>125</v>
      </c>
      <c r="C89" s="44" t="s">
        <v>134</v>
      </c>
      <c r="D89" s="34">
        <v>6254</v>
      </c>
      <c r="E89" s="46" t="s">
        <v>141</v>
      </c>
      <c r="F89" s="35">
        <v>54348</v>
      </c>
      <c r="G89" s="40">
        <v>54348</v>
      </c>
      <c r="H89" s="35">
        <v>0</v>
      </c>
      <c r="I89" s="49">
        <f t="shared" si="2"/>
        <v>54348</v>
      </c>
      <c r="J89" s="51">
        <f t="shared" si="3"/>
        <v>0</v>
      </c>
      <c r="K89" s="48" t="s">
        <v>85</v>
      </c>
      <c r="L89" s="48" t="s">
        <v>85</v>
      </c>
      <c r="M89" s="38">
        <v>41820</v>
      </c>
      <c r="N89" s="48"/>
      <c r="O89" s="41">
        <v>54348</v>
      </c>
      <c r="P89" s="41"/>
      <c r="Q89" s="41"/>
      <c r="R89" s="41"/>
      <c r="S89" s="41"/>
    </row>
    <row r="90" spans="1:19" s="15" customFormat="1" ht="26.25" customHeight="1" x14ac:dyDescent="0.2">
      <c r="A90" s="43" t="s">
        <v>311</v>
      </c>
      <c r="B90" s="46" t="s">
        <v>125</v>
      </c>
      <c r="C90" s="44" t="s">
        <v>134</v>
      </c>
      <c r="D90" s="34">
        <v>7022</v>
      </c>
      <c r="E90" s="46" t="s">
        <v>327</v>
      </c>
      <c r="F90" s="35">
        <v>62401</v>
      </c>
      <c r="G90" s="40">
        <v>62401</v>
      </c>
      <c r="H90" s="35">
        <v>0</v>
      </c>
      <c r="I90" s="35">
        <f t="shared" si="2"/>
        <v>62401</v>
      </c>
      <c r="J90" s="36">
        <f t="shared" si="3"/>
        <v>0</v>
      </c>
      <c r="K90" s="48" t="s">
        <v>83</v>
      </c>
      <c r="L90" s="48" t="s">
        <v>85</v>
      </c>
      <c r="M90" s="38">
        <v>42990</v>
      </c>
      <c r="N90" s="48"/>
      <c r="O90" s="35">
        <v>62401</v>
      </c>
      <c r="P90" s="35"/>
      <c r="Q90" s="35"/>
      <c r="R90" s="35"/>
      <c r="S90" s="41"/>
    </row>
    <row r="91" spans="1:19" s="15" customFormat="1" ht="26.25" customHeight="1" x14ac:dyDescent="0.2">
      <c r="A91" s="43" t="s">
        <v>429</v>
      </c>
      <c r="B91" s="46" t="s">
        <v>159</v>
      </c>
      <c r="C91" s="44" t="s">
        <v>134</v>
      </c>
      <c r="D91" s="34">
        <v>7256</v>
      </c>
      <c r="E91" s="46" t="s">
        <v>435</v>
      </c>
      <c r="F91" s="35">
        <v>8000</v>
      </c>
      <c r="G91" s="40">
        <v>8000</v>
      </c>
      <c r="H91" s="35">
        <v>0</v>
      </c>
      <c r="I91" s="35">
        <f t="shared" si="2"/>
        <v>8000</v>
      </c>
      <c r="J91" s="36">
        <f t="shared" si="3"/>
        <v>0</v>
      </c>
      <c r="K91" s="48" t="s">
        <v>83</v>
      </c>
      <c r="L91" s="48" t="s">
        <v>83</v>
      </c>
      <c r="M91" s="38">
        <v>41820</v>
      </c>
      <c r="N91" s="48"/>
      <c r="O91" s="35">
        <v>8000</v>
      </c>
      <c r="P91" s="35"/>
      <c r="Q91" s="35"/>
      <c r="R91" s="35"/>
      <c r="S91" s="41"/>
    </row>
    <row r="92" spans="1:19" s="15" customFormat="1" ht="26.25" customHeight="1" x14ac:dyDescent="0.2">
      <c r="A92" s="43" t="s">
        <v>656</v>
      </c>
      <c r="B92" s="46" t="s">
        <v>46</v>
      </c>
      <c r="C92" s="46" t="s">
        <v>134</v>
      </c>
      <c r="D92" s="47">
        <v>7718</v>
      </c>
      <c r="E92" s="46" t="s">
        <v>663</v>
      </c>
      <c r="F92" s="35">
        <v>6824</v>
      </c>
      <c r="G92" s="40">
        <v>6824</v>
      </c>
      <c r="H92" s="35">
        <v>0</v>
      </c>
      <c r="I92" s="35">
        <f t="shared" si="2"/>
        <v>6824</v>
      </c>
      <c r="J92" s="36">
        <f t="shared" si="3"/>
        <v>0</v>
      </c>
      <c r="K92" s="48" t="s">
        <v>83</v>
      </c>
      <c r="L92" s="48" t="s">
        <v>83</v>
      </c>
      <c r="M92" s="38">
        <v>41997</v>
      </c>
      <c r="N92" s="48"/>
      <c r="O92" s="35">
        <v>6824</v>
      </c>
      <c r="P92" s="35"/>
      <c r="Q92" s="35"/>
      <c r="R92" s="35"/>
      <c r="S92" s="41"/>
    </row>
    <row r="93" spans="1:19" s="15" customFormat="1" ht="38.25" customHeight="1" x14ac:dyDescent="0.2">
      <c r="A93" s="43" t="s">
        <v>34</v>
      </c>
      <c r="B93" s="46" t="s">
        <v>47</v>
      </c>
      <c r="C93" s="44" t="s">
        <v>63</v>
      </c>
      <c r="D93" s="47" t="s">
        <v>65</v>
      </c>
      <c r="E93" s="46" t="s">
        <v>82</v>
      </c>
      <c r="F93" s="35">
        <v>49000</v>
      </c>
      <c r="G93" s="40">
        <v>49000</v>
      </c>
      <c r="H93" s="35">
        <v>0</v>
      </c>
      <c r="I93" s="49">
        <f t="shared" si="2"/>
        <v>49000</v>
      </c>
      <c r="J93" s="51">
        <f t="shared" si="3"/>
        <v>0</v>
      </c>
      <c r="K93" s="48" t="s">
        <v>83</v>
      </c>
      <c r="L93" s="48" t="s">
        <v>83</v>
      </c>
      <c r="M93" s="38">
        <v>41820</v>
      </c>
      <c r="N93" s="48"/>
      <c r="O93" s="41">
        <v>49000</v>
      </c>
      <c r="P93" s="41"/>
      <c r="Q93" s="41"/>
      <c r="R93" s="41"/>
      <c r="S93" s="41"/>
    </row>
    <row r="94" spans="1:19" s="15" customFormat="1" ht="26.25" customHeight="1" x14ac:dyDescent="0.2">
      <c r="A94" s="43" t="s">
        <v>121</v>
      </c>
      <c r="B94" s="46" t="s">
        <v>124</v>
      </c>
      <c r="C94" s="44" t="s">
        <v>132</v>
      </c>
      <c r="D94" s="47">
        <v>6582</v>
      </c>
      <c r="E94" s="46" t="s">
        <v>139</v>
      </c>
      <c r="F94" s="35">
        <v>95000</v>
      </c>
      <c r="G94" s="40">
        <v>95000</v>
      </c>
      <c r="H94" s="35">
        <v>0</v>
      </c>
      <c r="I94" s="49">
        <f t="shared" si="2"/>
        <v>95000</v>
      </c>
      <c r="J94" s="51">
        <f t="shared" si="3"/>
        <v>0</v>
      </c>
      <c r="K94" s="48" t="s">
        <v>85</v>
      </c>
      <c r="L94" s="48" t="s">
        <v>85</v>
      </c>
      <c r="M94" s="38">
        <v>41820</v>
      </c>
      <c r="N94" s="48"/>
      <c r="O94" s="41">
        <v>95000</v>
      </c>
      <c r="P94" s="41"/>
      <c r="Q94" s="41"/>
      <c r="R94" s="41"/>
      <c r="S94" s="41"/>
    </row>
    <row r="95" spans="1:19" s="15" customFormat="1" ht="26.25" customHeight="1" x14ac:dyDescent="0.2">
      <c r="A95" s="43" t="s">
        <v>922</v>
      </c>
      <c r="B95" s="46" t="s">
        <v>124</v>
      </c>
      <c r="C95" s="44" t="s">
        <v>132</v>
      </c>
      <c r="D95" s="47">
        <v>8196</v>
      </c>
      <c r="E95" s="46" t="s">
        <v>932</v>
      </c>
      <c r="F95" s="35">
        <f>95000*3</f>
        <v>285000</v>
      </c>
      <c r="G95" s="35">
        <f>95000*3</f>
        <v>285000</v>
      </c>
      <c r="H95" s="35">
        <v>0</v>
      </c>
      <c r="I95" s="35">
        <f t="shared" si="2"/>
        <v>285000</v>
      </c>
      <c r="J95" s="36">
        <f t="shared" si="3"/>
        <v>0</v>
      </c>
      <c r="K95" s="48" t="s">
        <v>83</v>
      </c>
      <c r="L95" s="48" t="s">
        <v>85</v>
      </c>
      <c r="M95" s="38">
        <v>42124</v>
      </c>
      <c r="N95" s="48" t="s">
        <v>84</v>
      </c>
      <c r="O95" s="35">
        <v>95000</v>
      </c>
      <c r="P95" s="35">
        <v>95000</v>
      </c>
      <c r="Q95" s="35">
        <v>95000</v>
      </c>
      <c r="R95" s="35"/>
      <c r="S95" s="41"/>
    </row>
    <row r="96" spans="1:19" s="15" customFormat="1" ht="26.25" customHeight="1" x14ac:dyDescent="0.2">
      <c r="A96" s="43" t="s">
        <v>667</v>
      </c>
      <c r="B96" s="46" t="s">
        <v>159</v>
      </c>
      <c r="C96" s="44" t="s">
        <v>669</v>
      </c>
      <c r="D96" s="47">
        <v>7728</v>
      </c>
      <c r="E96" s="46" t="s">
        <v>671</v>
      </c>
      <c r="F96" s="35">
        <v>97200</v>
      </c>
      <c r="G96" s="40">
        <v>97200</v>
      </c>
      <c r="H96" s="35">
        <v>0</v>
      </c>
      <c r="I96" s="35">
        <f t="shared" si="2"/>
        <v>97200</v>
      </c>
      <c r="J96" s="36">
        <f t="shared" si="3"/>
        <v>0</v>
      </c>
      <c r="K96" s="48" t="s">
        <v>83</v>
      </c>
      <c r="L96" s="48" t="s">
        <v>83</v>
      </c>
      <c r="M96" s="38">
        <v>41820</v>
      </c>
      <c r="N96" s="48"/>
      <c r="O96" s="35">
        <v>97200</v>
      </c>
      <c r="P96" s="35"/>
      <c r="Q96" s="35"/>
      <c r="R96" s="35"/>
      <c r="S96" s="41"/>
    </row>
    <row r="97" spans="1:19" s="15" customFormat="1" ht="26.25" customHeight="1" x14ac:dyDescent="0.2">
      <c r="A97" s="43" t="s">
        <v>419</v>
      </c>
      <c r="B97" s="46" t="s">
        <v>38</v>
      </c>
      <c r="C97" s="44" t="s">
        <v>422</v>
      </c>
      <c r="D97" s="34">
        <v>7209</v>
      </c>
      <c r="E97" s="46" t="s">
        <v>416</v>
      </c>
      <c r="F97" s="35">
        <v>44100</v>
      </c>
      <c r="G97" s="40">
        <v>44100</v>
      </c>
      <c r="H97" s="35">
        <v>0</v>
      </c>
      <c r="I97" s="35">
        <f t="shared" si="2"/>
        <v>44100</v>
      </c>
      <c r="J97" s="36">
        <f t="shared" si="3"/>
        <v>0</v>
      </c>
      <c r="K97" s="48" t="s">
        <v>83</v>
      </c>
      <c r="L97" s="48" t="s">
        <v>85</v>
      </c>
      <c r="M97" s="38">
        <v>41497</v>
      </c>
      <c r="N97" s="48"/>
      <c r="O97" s="35">
        <v>44100</v>
      </c>
      <c r="P97" s="35"/>
      <c r="Q97" s="35"/>
      <c r="R97" s="35"/>
      <c r="S97" s="41"/>
    </row>
    <row r="98" spans="1:19" s="15" customFormat="1" ht="26.25" customHeight="1" x14ac:dyDescent="0.2">
      <c r="A98" s="43" t="s">
        <v>24</v>
      </c>
      <c r="B98" s="46" t="s">
        <v>42</v>
      </c>
      <c r="C98" s="44" t="s">
        <v>55</v>
      </c>
      <c r="D98" s="34">
        <v>6362</v>
      </c>
      <c r="E98" s="46" t="s">
        <v>73</v>
      </c>
      <c r="F98" s="35">
        <v>33600</v>
      </c>
      <c r="G98" s="40">
        <v>33600</v>
      </c>
      <c r="H98" s="35">
        <v>0</v>
      </c>
      <c r="I98" s="49">
        <f t="shared" si="2"/>
        <v>33600</v>
      </c>
      <c r="J98" s="51">
        <f t="shared" si="3"/>
        <v>0</v>
      </c>
      <c r="K98" s="48" t="s">
        <v>83</v>
      </c>
      <c r="L98" s="48" t="s">
        <v>83</v>
      </c>
      <c r="M98" s="38">
        <v>41639</v>
      </c>
      <c r="N98" s="48"/>
      <c r="O98" s="41">
        <v>33600</v>
      </c>
      <c r="P98" s="41"/>
      <c r="Q98" s="41"/>
      <c r="R98" s="41"/>
      <c r="S98" s="41"/>
    </row>
    <row r="99" spans="1:19" s="15" customFormat="1" ht="26.25" customHeight="1" x14ac:dyDescent="0.2">
      <c r="A99" s="43" t="s">
        <v>606</v>
      </c>
      <c r="B99" s="46" t="s">
        <v>42</v>
      </c>
      <c r="C99" s="44" t="s">
        <v>55</v>
      </c>
      <c r="D99" s="47">
        <v>7553</v>
      </c>
      <c r="E99" s="46" t="s">
        <v>599</v>
      </c>
      <c r="F99" s="35">
        <v>20300</v>
      </c>
      <c r="G99" s="40">
        <v>33600</v>
      </c>
      <c r="H99" s="35">
        <v>20300</v>
      </c>
      <c r="I99" s="35">
        <f t="shared" si="2"/>
        <v>53900</v>
      </c>
      <c r="J99" s="36">
        <f t="shared" si="3"/>
        <v>0.60416666666666663</v>
      </c>
      <c r="K99" s="48" t="s">
        <v>83</v>
      </c>
      <c r="L99" s="48" t="s">
        <v>83</v>
      </c>
      <c r="M99" s="38">
        <v>41729</v>
      </c>
      <c r="N99" s="48" t="s">
        <v>86</v>
      </c>
      <c r="O99" s="35">
        <v>20300</v>
      </c>
      <c r="P99" s="35"/>
      <c r="Q99" s="35"/>
      <c r="R99" s="35"/>
      <c r="S99" s="41"/>
    </row>
    <row r="100" spans="1:19" s="15" customFormat="1" ht="26.25" customHeight="1" x14ac:dyDescent="0.2">
      <c r="A100" s="43" t="s">
        <v>787</v>
      </c>
      <c r="B100" s="46" t="s">
        <v>42</v>
      </c>
      <c r="C100" s="44" t="s">
        <v>55</v>
      </c>
      <c r="D100" s="47" t="s">
        <v>793</v>
      </c>
      <c r="E100" s="46" t="s">
        <v>796</v>
      </c>
      <c r="F100" s="35">
        <v>22400</v>
      </c>
      <c r="G100" s="40">
        <v>33600</v>
      </c>
      <c r="H100" s="35">
        <f>20300+22400</f>
        <v>42700</v>
      </c>
      <c r="I100" s="35">
        <f t="shared" si="2"/>
        <v>76300</v>
      </c>
      <c r="J100" s="36">
        <f t="shared" si="3"/>
        <v>1.2708333333333333</v>
      </c>
      <c r="K100" s="48" t="s">
        <v>83</v>
      </c>
      <c r="L100" s="48" t="s">
        <v>83</v>
      </c>
      <c r="M100" s="38">
        <v>41851</v>
      </c>
      <c r="N100" s="48" t="s">
        <v>86</v>
      </c>
      <c r="O100" s="35">
        <v>22400</v>
      </c>
      <c r="P100" s="35"/>
      <c r="Q100" s="35"/>
      <c r="R100" s="35"/>
      <c r="S100" s="41"/>
    </row>
    <row r="101" spans="1:19" s="15" customFormat="1" ht="18" customHeight="1" x14ac:dyDescent="0.2">
      <c r="A101" s="43" t="s">
        <v>310</v>
      </c>
      <c r="B101" s="46" t="s">
        <v>159</v>
      </c>
      <c r="C101" s="44" t="s">
        <v>319</v>
      </c>
      <c r="D101" s="34">
        <v>7021</v>
      </c>
      <c r="E101" s="46" t="s">
        <v>326</v>
      </c>
      <c r="F101" s="35">
        <v>99000</v>
      </c>
      <c r="G101" s="40">
        <v>99000</v>
      </c>
      <c r="H101" s="35">
        <v>0</v>
      </c>
      <c r="I101" s="35">
        <f t="shared" si="2"/>
        <v>99000</v>
      </c>
      <c r="J101" s="36">
        <f t="shared" si="3"/>
        <v>0</v>
      </c>
      <c r="K101" s="48" t="s">
        <v>83</v>
      </c>
      <c r="L101" s="48" t="s">
        <v>83</v>
      </c>
      <c r="M101" s="38">
        <v>41820</v>
      </c>
      <c r="N101" s="48"/>
      <c r="O101" s="35">
        <v>99000</v>
      </c>
      <c r="P101" s="35"/>
      <c r="Q101" s="49"/>
      <c r="R101" s="49"/>
      <c r="S101" s="41"/>
    </row>
    <row r="102" spans="1:19" s="15" customFormat="1" ht="26.25" customHeight="1" x14ac:dyDescent="0.2">
      <c r="A102" s="43" t="s">
        <v>33</v>
      </c>
      <c r="B102" s="46" t="s">
        <v>46</v>
      </c>
      <c r="C102" s="44" t="s">
        <v>410</v>
      </c>
      <c r="D102" s="47">
        <v>6812</v>
      </c>
      <c r="E102" s="46" t="s">
        <v>81</v>
      </c>
      <c r="F102" s="35">
        <f>40000*3</f>
        <v>120000</v>
      </c>
      <c r="G102" s="40">
        <f>40000*3</f>
        <v>120000</v>
      </c>
      <c r="H102" s="35">
        <v>0</v>
      </c>
      <c r="I102" s="49">
        <f t="shared" si="2"/>
        <v>120000</v>
      </c>
      <c r="J102" s="51">
        <f t="shared" si="3"/>
        <v>0</v>
      </c>
      <c r="K102" s="48" t="s">
        <v>83</v>
      </c>
      <c r="L102" s="48" t="s">
        <v>85</v>
      </c>
      <c r="M102" s="38">
        <v>41821</v>
      </c>
      <c r="N102" s="48" t="s">
        <v>84</v>
      </c>
      <c r="O102" s="41">
        <v>40000</v>
      </c>
      <c r="P102" s="41">
        <v>40000</v>
      </c>
      <c r="Q102" s="41">
        <v>40000</v>
      </c>
      <c r="R102" s="41"/>
      <c r="S102" s="41"/>
    </row>
    <row r="103" spans="1:19" s="15" customFormat="1" ht="26.25" customHeight="1" x14ac:dyDescent="0.2">
      <c r="A103" s="43" t="s">
        <v>445</v>
      </c>
      <c r="B103" s="46" t="s">
        <v>315</v>
      </c>
      <c r="C103" s="44" t="s">
        <v>447</v>
      </c>
      <c r="D103" s="34">
        <v>6459</v>
      </c>
      <c r="E103" s="46" t="s">
        <v>449</v>
      </c>
      <c r="F103" s="35">
        <v>99000</v>
      </c>
      <c r="G103" s="40">
        <v>95000</v>
      </c>
      <c r="H103" s="35">
        <f>95000+35000+15000+10000+10000+10000+40000+99000</f>
        <v>314000</v>
      </c>
      <c r="I103" s="35">
        <f t="shared" si="2"/>
        <v>409000</v>
      </c>
      <c r="J103" s="36">
        <f t="shared" si="3"/>
        <v>3.3052631578947369</v>
      </c>
      <c r="K103" s="48" t="s">
        <v>83</v>
      </c>
      <c r="L103" s="48" t="s">
        <v>83</v>
      </c>
      <c r="M103" s="52" t="s">
        <v>331</v>
      </c>
      <c r="N103" s="48" t="s">
        <v>86</v>
      </c>
      <c r="O103" s="35">
        <v>99000</v>
      </c>
      <c r="P103" s="35"/>
      <c r="Q103" s="35"/>
      <c r="R103" s="35"/>
      <c r="S103" s="41"/>
    </row>
    <row r="104" spans="1:19" s="15" customFormat="1" ht="26.25" customHeight="1" x14ac:dyDescent="0.2">
      <c r="A104" s="43" t="s">
        <v>446</v>
      </c>
      <c r="B104" s="46" t="s">
        <v>39</v>
      </c>
      <c r="C104" s="44" t="s">
        <v>448</v>
      </c>
      <c r="D104" s="34">
        <v>7193</v>
      </c>
      <c r="E104" s="46" t="s">
        <v>450</v>
      </c>
      <c r="F104" s="35">
        <f>98500*3</f>
        <v>295500</v>
      </c>
      <c r="G104" s="40">
        <f>98500*3</f>
        <v>295500</v>
      </c>
      <c r="H104" s="35">
        <v>0</v>
      </c>
      <c r="I104" s="35">
        <f t="shared" si="2"/>
        <v>295500</v>
      </c>
      <c r="J104" s="36">
        <f t="shared" si="3"/>
        <v>0</v>
      </c>
      <c r="K104" s="48" t="s">
        <v>83</v>
      </c>
      <c r="L104" s="48" t="s">
        <v>85</v>
      </c>
      <c r="M104" s="38">
        <v>41820</v>
      </c>
      <c r="N104" s="48" t="s">
        <v>84</v>
      </c>
      <c r="O104" s="35">
        <v>98500</v>
      </c>
      <c r="P104" s="35">
        <v>98500</v>
      </c>
      <c r="Q104" s="35">
        <v>98500</v>
      </c>
      <c r="R104" s="35"/>
      <c r="S104" s="41"/>
    </row>
    <row r="105" spans="1:19" s="15" customFormat="1" ht="26.25" customHeight="1" x14ac:dyDescent="0.2">
      <c r="A105" s="43" t="s">
        <v>556</v>
      </c>
      <c r="B105" s="46" t="s">
        <v>559</v>
      </c>
      <c r="C105" s="44" t="s">
        <v>570</v>
      </c>
      <c r="D105" s="47">
        <v>7741</v>
      </c>
      <c r="E105" s="46" t="s">
        <v>581</v>
      </c>
      <c r="F105" s="35">
        <v>27990</v>
      </c>
      <c r="G105" s="40">
        <v>27990</v>
      </c>
      <c r="H105" s="35">
        <v>0</v>
      </c>
      <c r="I105" s="35">
        <f t="shared" si="2"/>
        <v>27990</v>
      </c>
      <c r="J105" s="36">
        <f t="shared" si="3"/>
        <v>0</v>
      </c>
      <c r="K105" s="48" t="s">
        <v>83</v>
      </c>
      <c r="L105" s="48" t="s">
        <v>83</v>
      </c>
      <c r="M105" s="38">
        <v>41759</v>
      </c>
      <c r="N105" s="48"/>
      <c r="O105" s="35">
        <v>27990</v>
      </c>
      <c r="P105" s="35"/>
      <c r="Q105" s="35"/>
      <c r="R105" s="35"/>
      <c r="S105" s="41"/>
    </row>
    <row r="106" spans="1:19" s="15" customFormat="1" ht="26.25" customHeight="1" x14ac:dyDescent="0.2">
      <c r="A106" s="43" t="s">
        <v>897</v>
      </c>
      <c r="B106" s="46" t="s">
        <v>46</v>
      </c>
      <c r="C106" s="44" t="s">
        <v>570</v>
      </c>
      <c r="D106" s="47">
        <v>8070</v>
      </c>
      <c r="E106" s="46" t="s">
        <v>913</v>
      </c>
      <c r="F106" s="35">
        <f>25000*3</f>
        <v>75000</v>
      </c>
      <c r="G106" s="35">
        <f>25000*3</f>
        <v>75000</v>
      </c>
      <c r="H106" s="35">
        <v>0</v>
      </c>
      <c r="I106" s="35">
        <f t="shared" si="2"/>
        <v>75000</v>
      </c>
      <c r="J106" s="36">
        <f t="shared" si="3"/>
        <v>0</v>
      </c>
      <c r="K106" s="48" t="s">
        <v>83</v>
      </c>
      <c r="L106" s="48" t="s">
        <v>83</v>
      </c>
      <c r="M106" s="38">
        <v>41820</v>
      </c>
      <c r="N106" s="48" t="s">
        <v>84</v>
      </c>
      <c r="O106" s="35">
        <v>25000</v>
      </c>
      <c r="P106" s="35">
        <v>25000</v>
      </c>
      <c r="Q106" s="35">
        <v>25000</v>
      </c>
      <c r="R106" s="35"/>
      <c r="S106" s="41"/>
    </row>
    <row r="107" spans="1:19" s="15" customFormat="1" ht="26.25" customHeight="1" x14ac:dyDescent="0.2">
      <c r="A107" s="43" t="s">
        <v>229</v>
      </c>
      <c r="B107" s="46" t="s">
        <v>41</v>
      </c>
      <c r="C107" s="44" t="s">
        <v>234</v>
      </c>
      <c r="D107" s="34">
        <v>6885</v>
      </c>
      <c r="E107" s="46" t="s">
        <v>238</v>
      </c>
      <c r="F107" s="35">
        <v>10968</v>
      </c>
      <c r="G107" s="40">
        <v>10968</v>
      </c>
      <c r="H107" s="35">
        <v>0</v>
      </c>
      <c r="I107" s="35">
        <f t="shared" si="2"/>
        <v>10968</v>
      </c>
      <c r="J107" s="36">
        <f t="shared" si="3"/>
        <v>0</v>
      </c>
      <c r="K107" s="48" t="s">
        <v>83</v>
      </c>
      <c r="L107" s="48" t="s">
        <v>85</v>
      </c>
      <c r="M107" s="38">
        <v>41820</v>
      </c>
      <c r="N107" s="48"/>
      <c r="O107" s="35">
        <v>10968</v>
      </c>
      <c r="P107" s="35"/>
      <c r="Q107" s="35"/>
      <c r="R107" s="35"/>
      <c r="S107" s="41"/>
    </row>
    <row r="108" spans="1:19" s="15" customFormat="1" ht="26.25" customHeight="1" x14ac:dyDescent="0.2">
      <c r="A108" s="43" t="s">
        <v>616</v>
      </c>
      <c r="B108" s="46" t="s">
        <v>46</v>
      </c>
      <c r="C108" s="44" t="s">
        <v>621</v>
      </c>
      <c r="D108" s="47">
        <v>7676</v>
      </c>
      <c r="E108" s="46" t="s">
        <v>618</v>
      </c>
      <c r="F108" s="35">
        <v>90000</v>
      </c>
      <c r="G108" s="40">
        <v>90000</v>
      </c>
      <c r="H108" s="35">
        <v>0</v>
      </c>
      <c r="I108" s="35">
        <f t="shared" si="2"/>
        <v>90000</v>
      </c>
      <c r="J108" s="36">
        <f t="shared" si="3"/>
        <v>0</v>
      </c>
      <c r="K108" s="48" t="s">
        <v>83</v>
      </c>
      <c r="L108" s="48" t="s">
        <v>83</v>
      </c>
      <c r="M108" s="52">
        <v>41790</v>
      </c>
      <c r="N108" s="48"/>
      <c r="O108" s="35">
        <v>90000</v>
      </c>
      <c r="P108" s="35"/>
      <c r="Q108" s="35"/>
      <c r="R108" s="35"/>
      <c r="S108" s="41"/>
    </row>
    <row r="109" spans="1:19" s="15" customFormat="1" ht="26.25" customHeight="1" x14ac:dyDescent="0.2">
      <c r="A109" s="43" t="s">
        <v>531</v>
      </c>
      <c r="B109" s="46" t="s">
        <v>159</v>
      </c>
      <c r="C109" s="44" t="s">
        <v>535</v>
      </c>
      <c r="D109" s="34">
        <v>7386</v>
      </c>
      <c r="E109" s="46" t="s">
        <v>540</v>
      </c>
      <c r="F109" s="35">
        <v>99000</v>
      </c>
      <c r="G109" s="40">
        <v>99000</v>
      </c>
      <c r="H109" s="35">
        <v>0</v>
      </c>
      <c r="I109" s="35">
        <f t="shared" si="2"/>
        <v>99000</v>
      </c>
      <c r="J109" s="36">
        <f t="shared" si="3"/>
        <v>0</v>
      </c>
      <c r="K109" s="48" t="s">
        <v>83</v>
      </c>
      <c r="L109" s="48" t="s">
        <v>83</v>
      </c>
      <c r="M109" s="38">
        <v>41820</v>
      </c>
      <c r="N109" s="48"/>
      <c r="O109" s="35">
        <v>99000</v>
      </c>
      <c r="P109" s="35"/>
      <c r="Q109" s="35"/>
      <c r="R109" s="35"/>
      <c r="S109" s="41"/>
    </row>
    <row r="110" spans="1:19" s="15" customFormat="1" ht="26.25" customHeight="1" x14ac:dyDescent="0.2">
      <c r="A110" s="43" t="s">
        <v>88</v>
      </c>
      <c r="B110" s="46" t="s">
        <v>94</v>
      </c>
      <c r="C110" s="44" t="s">
        <v>97</v>
      </c>
      <c r="D110" s="47" t="s">
        <v>103</v>
      </c>
      <c r="E110" s="46" t="s">
        <v>109</v>
      </c>
      <c r="F110" s="35">
        <f>10000*2</f>
        <v>20000</v>
      </c>
      <c r="G110" s="40">
        <v>15000</v>
      </c>
      <c r="H110" s="35">
        <f>10000*2</f>
        <v>20000</v>
      </c>
      <c r="I110" s="49">
        <f t="shared" si="2"/>
        <v>35000</v>
      </c>
      <c r="J110" s="51">
        <f t="shared" si="3"/>
        <v>1.3333333333333333</v>
      </c>
      <c r="K110" s="48" t="s">
        <v>83</v>
      </c>
      <c r="L110" s="48" t="s">
        <v>83</v>
      </c>
      <c r="M110" s="38">
        <v>41820</v>
      </c>
      <c r="N110" s="48" t="s">
        <v>84</v>
      </c>
      <c r="O110" s="41">
        <v>10000</v>
      </c>
      <c r="P110" s="41">
        <v>10000</v>
      </c>
      <c r="Q110" s="41"/>
      <c r="R110" s="41"/>
      <c r="S110" s="41"/>
    </row>
    <row r="111" spans="1:19" s="15" customFormat="1" ht="26.25" customHeight="1" x14ac:dyDescent="0.2">
      <c r="A111" s="43" t="s">
        <v>754</v>
      </c>
      <c r="B111" s="46" t="s">
        <v>557</v>
      </c>
      <c r="C111" s="44" t="s">
        <v>759</v>
      </c>
      <c r="D111" s="47">
        <v>7854</v>
      </c>
      <c r="E111" s="46" t="s">
        <v>767</v>
      </c>
      <c r="F111" s="35">
        <f>82000*3</f>
        <v>246000</v>
      </c>
      <c r="G111" s="40">
        <f>82000*3</f>
        <v>246000</v>
      </c>
      <c r="H111" s="35">
        <v>0</v>
      </c>
      <c r="I111" s="35">
        <f t="shared" si="2"/>
        <v>246000</v>
      </c>
      <c r="J111" s="36">
        <f t="shared" si="3"/>
        <v>0</v>
      </c>
      <c r="K111" s="48" t="s">
        <v>83</v>
      </c>
      <c r="L111" s="48" t="s">
        <v>83</v>
      </c>
      <c r="M111" s="38">
        <v>42035</v>
      </c>
      <c r="N111" s="48" t="s">
        <v>84</v>
      </c>
      <c r="O111" s="35">
        <v>82000</v>
      </c>
      <c r="P111" s="35">
        <v>82000</v>
      </c>
      <c r="Q111" s="35">
        <v>82000</v>
      </c>
      <c r="R111" s="35"/>
      <c r="S111" s="41"/>
    </row>
    <row r="112" spans="1:19" s="15" customFormat="1" ht="26.25" customHeight="1" x14ac:dyDescent="0.2">
      <c r="A112" s="43" t="s">
        <v>457</v>
      </c>
      <c r="B112" s="46" t="s">
        <v>94</v>
      </c>
      <c r="C112" s="44" t="s">
        <v>468</v>
      </c>
      <c r="D112" s="34">
        <v>7294</v>
      </c>
      <c r="E112" s="46" t="s">
        <v>462</v>
      </c>
      <c r="F112" s="35">
        <f>30000*2</f>
        <v>60000</v>
      </c>
      <c r="G112" s="40">
        <f>30000*2</f>
        <v>60000</v>
      </c>
      <c r="H112" s="35">
        <v>0</v>
      </c>
      <c r="I112" s="35">
        <f t="shared" si="2"/>
        <v>60000</v>
      </c>
      <c r="J112" s="36">
        <f t="shared" si="3"/>
        <v>0</v>
      </c>
      <c r="K112" s="48" t="s">
        <v>83</v>
      </c>
      <c r="L112" s="48" t="s">
        <v>83</v>
      </c>
      <c r="M112" s="38">
        <v>41820</v>
      </c>
      <c r="N112" s="48" t="s">
        <v>84</v>
      </c>
      <c r="O112" s="35">
        <v>30000</v>
      </c>
      <c r="P112" s="35">
        <v>30000</v>
      </c>
      <c r="Q112" s="35"/>
      <c r="R112" s="35"/>
      <c r="S112" s="41"/>
    </row>
    <row r="113" spans="1:19" s="15" customFormat="1" ht="26.25" customHeight="1" x14ac:dyDescent="0.2">
      <c r="A113" s="43" t="s">
        <v>586</v>
      </c>
      <c r="B113" s="46" t="s">
        <v>125</v>
      </c>
      <c r="C113" s="44" t="s">
        <v>590</v>
      </c>
      <c r="D113" s="47">
        <v>7583</v>
      </c>
      <c r="E113" s="46" t="s">
        <v>593</v>
      </c>
      <c r="F113" s="35">
        <f>6800*3</f>
        <v>20400</v>
      </c>
      <c r="G113" s="40">
        <f>6800*3</f>
        <v>20400</v>
      </c>
      <c r="H113" s="35">
        <v>0</v>
      </c>
      <c r="I113" s="35">
        <f t="shared" si="2"/>
        <v>20400</v>
      </c>
      <c r="J113" s="36">
        <f t="shared" si="3"/>
        <v>0</v>
      </c>
      <c r="K113" s="48" t="s">
        <v>83</v>
      </c>
      <c r="L113" s="48" t="s">
        <v>83</v>
      </c>
      <c r="M113" s="38">
        <v>41982</v>
      </c>
      <c r="N113" s="48" t="s">
        <v>84</v>
      </c>
      <c r="O113" s="35">
        <v>6800</v>
      </c>
      <c r="P113" s="35">
        <v>6800</v>
      </c>
      <c r="Q113" s="35">
        <v>6800</v>
      </c>
      <c r="R113" s="35"/>
      <c r="S113" s="41"/>
    </row>
    <row r="114" spans="1:19" s="15" customFormat="1" ht="26.25" customHeight="1" x14ac:dyDescent="0.2">
      <c r="A114" s="43" t="s">
        <v>459</v>
      </c>
      <c r="B114" s="46" t="s">
        <v>465</v>
      </c>
      <c r="C114" s="44" t="s">
        <v>470</v>
      </c>
      <c r="D114" s="47" t="s">
        <v>474</v>
      </c>
      <c r="E114" s="46" t="s">
        <v>463</v>
      </c>
      <c r="F114" s="35">
        <f>20000*2</f>
        <v>40000</v>
      </c>
      <c r="G114" s="40">
        <v>15000</v>
      </c>
      <c r="H114" s="35">
        <f>20000*2</f>
        <v>40000</v>
      </c>
      <c r="I114" s="35">
        <f t="shared" si="2"/>
        <v>55000</v>
      </c>
      <c r="J114" s="36">
        <f t="shared" si="3"/>
        <v>2.6666666666666665</v>
      </c>
      <c r="K114" s="48" t="s">
        <v>83</v>
      </c>
      <c r="L114" s="48" t="s">
        <v>83</v>
      </c>
      <c r="M114" s="38">
        <v>41820</v>
      </c>
      <c r="N114" s="48" t="s">
        <v>86</v>
      </c>
      <c r="O114" s="35">
        <v>20000</v>
      </c>
      <c r="P114" s="35">
        <v>20000</v>
      </c>
      <c r="Q114" s="35"/>
      <c r="R114" s="35"/>
      <c r="S114" s="41"/>
    </row>
    <row r="115" spans="1:19" s="15" customFormat="1" ht="26.25" customHeight="1" x14ac:dyDescent="0.2">
      <c r="A115" s="43" t="s">
        <v>971</v>
      </c>
      <c r="B115" s="46" t="s">
        <v>46</v>
      </c>
      <c r="C115" s="44" t="s">
        <v>976</v>
      </c>
      <c r="D115" s="47">
        <v>8273</v>
      </c>
      <c r="E115" s="46" t="s">
        <v>983</v>
      </c>
      <c r="F115" s="35">
        <v>95987</v>
      </c>
      <c r="G115" s="35">
        <v>95987</v>
      </c>
      <c r="H115" s="35">
        <v>0</v>
      </c>
      <c r="I115" s="35">
        <f t="shared" si="2"/>
        <v>95987</v>
      </c>
      <c r="J115" s="36">
        <f t="shared" si="3"/>
        <v>0</v>
      </c>
      <c r="K115" s="48" t="s">
        <v>85</v>
      </c>
      <c r="L115" s="48" t="s">
        <v>85</v>
      </c>
      <c r="M115" s="38">
        <v>41882</v>
      </c>
      <c r="N115" s="48"/>
      <c r="O115" s="35">
        <v>95987</v>
      </c>
      <c r="P115" s="35"/>
      <c r="Q115" s="35"/>
      <c r="R115" s="35"/>
      <c r="S115" s="41"/>
    </row>
    <row r="116" spans="1:19" s="15" customFormat="1" ht="26.25" customHeight="1" x14ac:dyDescent="0.2">
      <c r="A116" s="43" t="s">
        <v>115</v>
      </c>
      <c r="B116" s="46" t="s">
        <v>37</v>
      </c>
      <c r="C116" s="44" t="s">
        <v>126</v>
      </c>
      <c r="D116" s="47">
        <v>6271</v>
      </c>
      <c r="E116" s="46" t="s">
        <v>135</v>
      </c>
      <c r="F116" s="49">
        <v>99860</v>
      </c>
      <c r="G116" s="50">
        <v>99860</v>
      </c>
      <c r="H116" s="49">
        <v>0</v>
      </c>
      <c r="I116" s="49">
        <f t="shared" si="2"/>
        <v>99860</v>
      </c>
      <c r="J116" s="51">
        <f t="shared" si="3"/>
        <v>0</v>
      </c>
      <c r="K116" s="48" t="s">
        <v>83</v>
      </c>
      <c r="L116" s="48" t="s">
        <v>83</v>
      </c>
      <c r="M116" s="52">
        <v>41820</v>
      </c>
      <c r="N116" s="48"/>
      <c r="O116" s="41">
        <v>99860</v>
      </c>
      <c r="P116" s="41"/>
      <c r="Q116" s="41"/>
      <c r="R116" s="41"/>
      <c r="S116" s="41"/>
    </row>
    <row r="117" spans="1:19" s="15" customFormat="1" ht="26.25" customHeight="1" x14ac:dyDescent="0.2">
      <c r="A117" s="43" t="s">
        <v>668</v>
      </c>
      <c r="B117" s="46" t="s">
        <v>159</v>
      </c>
      <c r="C117" s="44" t="s">
        <v>670</v>
      </c>
      <c r="D117" s="47">
        <v>7735</v>
      </c>
      <c r="E117" s="46" t="s">
        <v>672</v>
      </c>
      <c r="F117" s="35">
        <v>99750</v>
      </c>
      <c r="G117" s="40">
        <v>99750</v>
      </c>
      <c r="H117" s="35">
        <v>0</v>
      </c>
      <c r="I117" s="35">
        <f t="shared" si="2"/>
        <v>99750</v>
      </c>
      <c r="J117" s="36">
        <f t="shared" si="3"/>
        <v>0</v>
      </c>
      <c r="K117" s="48" t="s">
        <v>83</v>
      </c>
      <c r="L117" s="48" t="s">
        <v>83</v>
      </c>
      <c r="M117" s="38">
        <v>41820</v>
      </c>
      <c r="N117" s="48"/>
      <c r="O117" s="35">
        <v>99750</v>
      </c>
      <c r="P117" s="35"/>
      <c r="Q117" s="35"/>
      <c r="R117" s="35"/>
      <c r="S117" s="41"/>
    </row>
    <row r="118" spans="1:19" s="15" customFormat="1" ht="26.25" customHeight="1" x14ac:dyDescent="0.2">
      <c r="A118" s="43" t="s">
        <v>17</v>
      </c>
      <c r="B118" s="45" t="s">
        <v>35</v>
      </c>
      <c r="C118" s="45" t="s">
        <v>48</v>
      </c>
      <c r="D118" s="53">
        <v>5834</v>
      </c>
      <c r="E118" s="46" t="s">
        <v>66</v>
      </c>
      <c r="F118" s="41">
        <f>28520*3</f>
        <v>85560</v>
      </c>
      <c r="G118" s="41">
        <f>28520*3</f>
        <v>85560</v>
      </c>
      <c r="H118" s="42">
        <v>0</v>
      </c>
      <c r="I118" s="49">
        <f t="shared" si="2"/>
        <v>85560</v>
      </c>
      <c r="J118" s="51">
        <f t="shared" si="3"/>
        <v>0</v>
      </c>
      <c r="K118" s="48" t="s">
        <v>83</v>
      </c>
      <c r="L118" s="48" t="s">
        <v>83</v>
      </c>
      <c r="M118" s="38">
        <v>42185</v>
      </c>
      <c r="N118" s="48" t="s">
        <v>84</v>
      </c>
      <c r="O118" s="41">
        <f>28520+28520</f>
        <v>57040</v>
      </c>
      <c r="P118" s="41">
        <v>28520</v>
      </c>
      <c r="Q118" s="41"/>
      <c r="R118" s="41"/>
      <c r="S118" s="41"/>
    </row>
    <row r="119" spans="1:19" s="15" customFormat="1" ht="26.25" customHeight="1" x14ac:dyDescent="0.2">
      <c r="A119" s="43" t="s">
        <v>614</v>
      </c>
      <c r="B119" s="46" t="s">
        <v>39</v>
      </c>
      <c r="C119" s="44" t="s">
        <v>620</v>
      </c>
      <c r="D119" s="47">
        <v>7586</v>
      </c>
      <c r="E119" s="46" t="s">
        <v>617</v>
      </c>
      <c r="F119" s="35">
        <v>50065</v>
      </c>
      <c r="G119" s="40">
        <v>50065</v>
      </c>
      <c r="H119" s="35">
        <v>0</v>
      </c>
      <c r="I119" s="35">
        <f t="shared" si="2"/>
        <v>50065</v>
      </c>
      <c r="J119" s="36">
        <f t="shared" si="3"/>
        <v>0</v>
      </c>
      <c r="K119" s="48" t="s">
        <v>83</v>
      </c>
      <c r="L119" s="48" t="s">
        <v>83</v>
      </c>
      <c r="M119" s="52">
        <v>41632</v>
      </c>
      <c r="N119" s="48"/>
      <c r="O119" s="35">
        <v>50065</v>
      </c>
      <c r="P119" s="35"/>
      <c r="Q119" s="35"/>
      <c r="R119" s="35"/>
      <c r="S119" s="41"/>
    </row>
    <row r="120" spans="1:19" s="15" customFormat="1" ht="26.25" customHeight="1" x14ac:dyDescent="0.2">
      <c r="A120" s="43" t="s">
        <v>684</v>
      </c>
      <c r="B120" s="46" t="s">
        <v>39</v>
      </c>
      <c r="C120" s="44" t="s">
        <v>620</v>
      </c>
      <c r="D120" s="47">
        <v>7810</v>
      </c>
      <c r="E120" s="46" t="s">
        <v>699</v>
      </c>
      <c r="F120" s="35">
        <v>15000</v>
      </c>
      <c r="G120" s="40">
        <v>15000</v>
      </c>
      <c r="H120" s="35">
        <v>0</v>
      </c>
      <c r="I120" s="35">
        <f t="shared" si="2"/>
        <v>15000</v>
      </c>
      <c r="J120" s="36">
        <f t="shared" si="3"/>
        <v>0</v>
      </c>
      <c r="K120" s="48" t="s">
        <v>83</v>
      </c>
      <c r="L120" s="48" t="s">
        <v>83</v>
      </c>
      <c r="M120" s="38">
        <v>41698</v>
      </c>
      <c r="N120" s="48"/>
      <c r="O120" s="35">
        <v>15000</v>
      </c>
      <c r="P120" s="35"/>
      <c r="Q120" s="35"/>
      <c r="R120" s="35"/>
      <c r="S120" s="41"/>
    </row>
    <row r="121" spans="1:19" s="15" customFormat="1" ht="26.25" customHeight="1" x14ac:dyDescent="0.2">
      <c r="A121" s="43" t="s">
        <v>814</v>
      </c>
      <c r="B121" s="46" t="s">
        <v>159</v>
      </c>
      <c r="C121" s="44" t="s">
        <v>820</v>
      </c>
      <c r="D121" s="47">
        <v>8053</v>
      </c>
      <c r="E121" s="46" t="s">
        <v>825</v>
      </c>
      <c r="F121" s="35">
        <v>29730</v>
      </c>
      <c r="G121" s="40">
        <v>29730</v>
      </c>
      <c r="H121" s="35">
        <v>0</v>
      </c>
      <c r="I121" s="35">
        <f t="shared" si="2"/>
        <v>29730</v>
      </c>
      <c r="J121" s="36">
        <f t="shared" si="3"/>
        <v>0</v>
      </c>
      <c r="K121" s="48" t="s">
        <v>83</v>
      </c>
      <c r="L121" s="48" t="s">
        <v>83</v>
      </c>
      <c r="M121" s="38">
        <v>41820</v>
      </c>
      <c r="N121" s="48"/>
      <c r="O121" s="35">
        <v>29730</v>
      </c>
      <c r="P121" s="35"/>
      <c r="Q121" s="35"/>
      <c r="R121" s="35"/>
      <c r="S121" s="41"/>
    </row>
    <row r="122" spans="1:19" s="15" customFormat="1" ht="26.25" customHeight="1" x14ac:dyDescent="0.2">
      <c r="A122" s="43" t="s">
        <v>1080</v>
      </c>
      <c r="B122" s="46" t="s">
        <v>940</v>
      </c>
      <c r="C122" s="44" t="s">
        <v>820</v>
      </c>
      <c r="D122" s="47">
        <v>8565</v>
      </c>
      <c r="E122" s="46" t="s">
        <v>1081</v>
      </c>
      <c r="F122" s="35">
        <v>7280</v>
      </c>
      <c r="G122" s="35">
        <v>29730</v>
      </c>
      <c r="H122" s="35">
        <v>7280</v>
      </c>
      <c r="I122" s="35">
        <f t="shared" si="2"/>
        <v>37010</v>
      </c>
      <c r="J122" s="36">
        <f t="shared" si="3"/>
        <v>0.24487050117726203</v>
      </c>
      <c r="K122" s="48" t="s">
        <v>83</v>
      </c>
      <c r="L122" s="48" t="s">
        <v>83</v>
      </c>
      <c r="M122" s="38">
        <v>41820</v>
      </c>
      <c r="N122" s="48" t="s">
        <v>86</v>
      </c>
      <c r="O122" s="35">
        <v>7280</v>
      </c>
      <c r="P122" s="35"/>
      <c r="Q122" s="35"/>
      <c r="R122" s="35"/>
      <c r="S122" s="41"/>
    </row>
    <row r="123" spans="1:19" s="15" customFormat="1" ht="26.25" customHeight="1" x14ac:dyDescent="0.2">
      <c r="A123" s="43" t="s">
        <v>921</v>
      </c>
      <c r="B123" s="46" t="s">
        <v>46</v>
      </c>
      <c r="C123" s="44" t="s">
        <v>928</v>
      </c>
      <c r="D123" s="47">
        <v>8186</v>
      </c>
      <c r="E123" s="46" t="s">
        <v>931</v>
      </c>
      <c r="F123" s="35">
        <v>96175</v>
      </c>
      <c r="G123" s="35">
        <v>96175</v>
      </c>
      <c r="H123" s="35">
        <v>0</v>
      </c>
      <c r="I123" s="35">
        <f t="shared" si="2"/>
        <v>96175</v>
      </c>
      <c r="J123" s="36">
        <f t="shared" si="3"/>
        <v>0</v>
      </c>
      <c r="K123" s="48" t="s">
        <v>83</v>
      </c>
      <c r="L123" s="48" t="s">
        <v>85</v>
      </c>
      <c r="M123" s="38">
        <v>41698</v>
      </c>
      <c r="N123" s="48"/>
      <c r="O123" s="35">
        <v>96175</v>
      </c>
      <c r="P123" s="35"/>
      <c r="Q123" s="35"/>
      <c r="R123" s="35"/>
      <c r="S123" s="41"/>
    </row>
    <row r="124" spans="1:19" s="15" customFormat="1" ht="26.25" customHeight="1" x14ac:dyDescent="0.2">
      <c r="A124" s="43" t="s">
        <v>885</v>
      </c>
      <c r="B124" s="46" t="s">
        <v>145</v>
      </c>
      <c r="C124" s="44" t="s">
        <v>889</v>
      </c>
      <c r="D124" s="47">
        <v>8153</v>
      </c>
      <c r="E124" s="46" t="s">
        <v>894</v>
      </c>
      <c r="F124" s="35">
        <v>2000</v>
      </c>
      <c r="G124" s="35">
        <v>4000</v>
      </c>
      <c r="H124" s="35">
        <v>2000</v>
      </c>
      <c r="I124" s="35">
        <f t="shared" si="2"/>
        <v>6000</v>
      </c>
      <c r="J124" s="36">
        <f t="shared" si="3"/>
        <v>0.5</v>
      </c>
      <c r="K124" s="48" t="s">
        <v>83</v>
      </c>
      <c r="L124" s="48" t="s">
        <v>83</v>
      </c>
      <c r="M124" s="38">
        <v>41820</v>
      </c>
      <c r="N124" s="48" t="s">
        <v>86</v>
      </c>
      <c r="O124" s="35">
        <v>2000</v>
      </c>
      <c r="P124" s="35"/>
      <c r="Q124" s="35"/>
      <c r="R124" s="35"/>
      <c r="S124" s="41"/>
    </row>
    <row r="125" spans="1:19" s="15" customFormat="1" ht="26.25" customHeight="1" x14ac:dyDescent="0.2">
      <c r="A125" s="43" t="s">
        <v>837</v>
      </c>
      <c r="B125" s="46" t="s">
        <v>39</v>
      </c>
      <c r="C125" s="44" t="s">
        <v>846</v>
      </c>
      <c r="D125" s="47">
        <v>8081</v>
      </c>
      <c r="E125" s="46" t="s">
        <v>856</v>
      </c>
      <c r="F125" s="35">
        <f>8500*3</f>
        <v>25500</v>
      </c>
      <c r="G125" s="40">
        <f>8500*3</f>
        <v>25500</v>
      </c>
      <c r="H125" s="35">
        <v>0</v>
      </c>
      <c r="I125" s="35">
        <f t="shared" si="2"/>
        <v>25500</v>
      </c>
      <c r="J125" s="36">
        <f t="shared" si="3"/>
        <v>0</v>
      </c>
      <c r="K125" s="48" t="s">
        <v>83</v>
      </c>
      <c r="L125" s="48" t="s">
        <v>85</v>
      </c>
      <c r="M125" s="38">
        <v>41820</v>
      </c>
      <c r="N125" s="48" t="s">
        <v>84</v>
      </c>
      <c r="O125" s="35">
        <v>8500</v>
      </c>
      <c r="P125" s="35">
        <v>8500</v>
      </c>
      <c r="Q125" s="35">
        <v>8500</v>
      </c>
      <c r="R125" s="35"/>
      <c r="S125" s="41"/>
    </row>
    <row r="126" spans="1:19" s="15" customFormat="1" ht="26.25" customHeight="1" x14ac:dyDescent="0.2">
      <c r="A126" s="43" t="s">
        <v>973</v>
      </c>
      <c r="B126" s="46" t="s">
        <v>940</v>
      </c>
      <c r="C126" s="44" t="s">
        <v>978</v>
      </c>
      <c r="D126" s="47">
        <v>8297</v>
      </c>
      <c r="E126" s="46" t="s">
        <v>985</v>
      </c>
      <c r="F126" s="35">
        <v>56537</v>
      </c>
      <c r="G126" s="35">
        <v>56537</v>
      </c>
      <c r="H126" s="35">
        <v>0</v>
      </c>
      <c r="I126" s="35">
        <f t="shared" si="2"/>
        <v>56537</v>
      </c>
      <c r="J126" s="36">
        <f t="shared" si="3"/>
        <v>0</v>
      </c>
      <c r="K126" s="48" t="s">
        <v>83</v>
      </c>
      <c r="L126" s="48" t="s">
        <v>83</v>
      </c>
      <c r="M126" s="38">
        <v>42004</v>
      </c>
      <c r="N126" s="48"/>
      <c r="O126" s="35">
        <v>56537</v>
      </c>
      <c r="P126" s="35"/>
      <c r="Q126" s="35"/>
      <c r="R126" s="35"/>
      <c r="S126" s="41"/>
    </row>
    <row r="127" spans="1:19" s="15" customFormat="1" ht="26.25" customHeight="1" x14ac:dyDescent="0.2">
      <c r="A127" s="43" t="s">
        <v>657</v>
      </c>
      <c r="B127" s="46" t="s">
        <v>41</v>
      </c>
      <c r="C127" s="46" t="s">
        <v>660</v>
      </c>
      <c r="D127" s="47">
        <v>7729</v>
      </c>
      <c r="E127" s="46" t="s">
        <v>666</v>
      </c>
      <c r="F127" s="35">
        <v>32992</v>
      </c>
      <c r="G127" s="40">
        <v>32992</v>
      </c>
      <c r="H127" s="35">
        <v>0</v>
      </c>
      <c r="I127" s="35">
        <f t="shared" si="2"/>
        <v>32992</v>
      </c>
      <c r="J127" s="36">
        <f t="shared" si="3"/>
        <v>0</v>
      </c>
      <c r="K127" s="48" t="s">
        <v>83</v>
      </c>
      <c r="L127" s="48" t="s">
        <v>85</v>
      </c>
      <c r="M127" s="38">
        <v>41820</v>
      </c>
      <c r="N127" s="48"/>
      <c r="O127" s="35">
        <v>32992</v>
      </c>
      <c r="P127" s="35"/>
      <c r="Q127" s="35"/>
      <c r="R127" s="35"/>
      <c r="S127" s="41"/>
    </row>
    <row r="128" spans="1:19" s="15" customFormat="1" ht="26.25" customHeight="1" x14ac:dyDescent="0.2">
      <c r="A128" s="43" t="s">
        <v>836</v>
      </c>
      <c r="B128" s="46" t="s">
        <v>39</v>
      </c>
      <c r="C128" s="44" t="s">
        <v>845</v>
      </c>
      <c r="D128" s="47">
        <v>8077</v>
      </c>
      <c r="E128" s="46" t="s">
        <v>856</v>
      </c>
      <c r="F128" s="35">
        <f>8500*3</f>
        <v>25500</v>
      </c>
      <c r="G128" s="40">
        <f>8500*3</f>
        <v>25500</v>
      </c>
      <c r="H128" s="35">
        <v>0</v>
      </c>
      <c r="I128" s="35">
        <f t="shared" si="2"/>
        <v>25500</v>
      </c>
      <c r="J128" s="36">
        <f t="shared" si="3"/>
        <v>0</v>
      </c>
      <c r="K128" s="48" t="s">
        <v>83</v>
      </c>
      <c r="L128" s="48" t="s">
        <v>85</v>
      </c>
      <c r="M128" s="38">
        <v>41820</v>
      </c>
      <c r="N128" s="48" t="s">
        <v>84</v>
      </c>
      <c r="O128" s="35">
        <v>8500</v>
      </c>
      <c r="P128" s="35">
        <v>8500</v>
      </c>
      <c r="Q128" s="35">
        <v>8500</v>
      </c>
      <c r="R128" s="35"/>
      <c r="S128" s="41"/>
    </row>
    <row r="129" spans="1:19" s="15" customFormat="1" ht="26.25" customHeight="1" x14ac:dyDescent="0.2">
      <c r="A129" s="43" t="s">
        <v>839</v>
      </c>
      <c r="B129" s="46" t="s">
        <v>94</v>
      </c>
      <c r="C129" s="44" t="s">
        <v>848</v>
      </c>
      <c r="D129" s="47">
        <v>8085</v>
      </c>
      <c r="E129" s="46" t="s">
        <v>858</v>
      </c>
      <c r="F129" s="35">
        <f>10000*3</f>
        <v>30000</v>
      </c>
      <c r="G129" s="40">
        <f>10000*3</f>
        <v>30000</v>
      </c>
      <c r="H129" s="35">
        <v>0</v>
      </c>
      <c r="I129" s="35">
        <f t="shared" si="2"/>
        <v>30000</v>
      </c>
      <c r="J129" s="36">
        <f t="shared" si="3"/>
        <v>0</v>
      </c>
      <c r="K129" s="48" t="s">
        <v>83</v>
      </c>
      <c r="L129" s="48" t="s">
        <v>85</v>
      </c>
      <c r="M129" s="38">
        <v>42063</v>
      </c>
      <c r="N129" s="48" t="s">
        <v>84</v>
      </c>
      <c r="O129" s="35">
        <v>10000</v>
      </c>
      <c r="P129" s="35">
        <v>10000</v>
      </c>
      <c r="Q129" s="35">
        <v>10000</v>
      </c>
      <c r="R129" s="35"/>
      <c r="S129" s="41"/>
    </row>
    <row r="130" spans="1:19" s="15" customFormat="1" ht="26.25" customHeight="1" x14ac:dyDescent="0.2">
      <c r="A130" s="43" t="s">
        <v>488</v>
      </c>
      <c r="B130" s="46" t="s">
        <v>515</v>
      </c>
      <c r="C130" s="44" t="s">
        <v>518</v>
      </c>
      <c r="D130" s="47">
        <v>5927</v>
      </c>
      <c r="E130" s="46" t="s">
        <v>502</v>
      </c>
      <c r="F130" s="35">
        <v>25000</v>
      </c>
      <c r="G130" s="40">
        <v>25000</v>
      </c>
      <c r="H130" s="35">
        <v>0</v>
      </c>
      <c r="I130" s="35">
        <f t="shared" ref="I130:I193" si="4">G130+H130</f>
        <v>25000</v>
      </c>
      <c r="J130" s="36">
        <f t="shared" ref="J130:J193" si="5">IF(G130=0,100%,(I130-G130)/G130)</f>
        <v>0</v>
      </c>
      <c r="K130" s="48" t="s">
        <v>83</v>
      </c>
      <c r="L130" s="48" t="s">
        <v>85</v>
      </c>
      <c r="M130" s="38">
        <v>41820</v>
      </c>
      <c r="N130" s="48"/>
      <c r="O130" s="35">
        <v>25000</v>
      </c>
      <c r="P130" s="35"/>
      <c r="Q130" s="35"/>
      <c r="R130" s="35"/>
      <c r="S130" s="41"/>
    </row>
    <row r="131" spans="1:19" s="15" customFormat="1" ht="18" customHeight="1" x14ac:dyDescent="0.2">
      <c r="A131" s="43" t="s">
        <v>546</v>
      </c>
      <c r="B131" s="46" t="s">
        <v>38</v>
      </c>
      <c r="C131" s="44" t="s">
        <v>562</v>
      </c>
      <c r="D131" s="47">
        <v>7323</v>
      </c>
      <c r="E131" s="46" t="s">
        <v>597</v>
      </c>
      <c r="F131" s="35">
        <v>13888</v>
      </c>
      <c r="G131" s="40">
        <v>13888</v>
      </c>
      <c r="H131" s="35">
        <v>0</v>
      </c>
      <c r="I131" s="35">
        <f t="shared" si="4"/>
        <v>13888</v>
      </c>
      <c r="J131" s="36">
        <f t="shared" si="5"/>
        <v>0</v>
      </c>
      <c r="K131" s="48" t="s">
        <v>83</v>
      </c>
      <c r="L131" s="48" t="s">
        <v>83</v>
      </c>
      <c r="M131" s="38">
        <v>41574</v>
      </c>
      <c r="N131" s="48"/>
      <c r="O131" s="35">
        <v>13888</v>
      </c>
      <c r="P131" s="35"/>
      <c r="Q131" s="35"/>
      <c r="R131" s="35"/>
      <c r="S131" s="41"/>
    </row>
    <row r="132" spans="1:19" s="15" customFormat="1" ht="26.25" customHeight="1" x14ac:dyDescent="0.2">
      <c r="A132" s="43" t="s">
        <v>771</v>
      </c>
      <c r="B132" s="46" t="s">
        <v>46</v>
      </c>
      <c r="C132" s="44" t="s">
        <v>775</v>
      </c>
      <c r="D132" s="47">
        <v>7913</v>
      </c>
      <c r="E132" s="46" t="s">
        <v>781</v>
      </c>
      <c r="F132" s="35">
        <v>42278</v>
      </c>
      <c r="G132" s="40">
        <v>42278</v>
      </c>
      <c r="H132" s="35">
        <v>0</v>
      </c>
      <c r="I132" s="35">
        <f t="shared" si="4"/>
        <v>42278</v>
      </c>
      <c r="J132" s="36">
        <f t="shared" si="5"/>
        <v>0</v>
      </c>
      <c r="K132" s="48" t="s">
        <v>83</v>
      </c>
      <c r="L132" s="48" t="s">
        <v>85</v>
      </c>
      <c r="M132" s="38">
        <v>41874</v>
      </c>
      <c r="N132" s="48"/>
      <c r="O132" s="35">
        <v>42278</v>
      </c>
      <c r="P132" s="35"/>
      <c r="Q132" s="35"/>
      <c r="R132" s="35"/>
      <c r="S132" s="41"/>
    </row>
    <row r="133" spans="1:19" s="15" customFormat="1" ht="26.25" customHeight="1" x14ac:dyDescent="0.2">
      <c r="A133" s="43" t="s">
        <v>680</v>
      </c>
      <c r="B133" s="46" t="s">
        <v>41</v>
      </c>
      <c r="C133" s="44" t="s">
        <v>731</v>
      </c>
      <c r="D133" s="47">
        <v>7798</v>
      </c>
      <c r="E133" s="46" t="s">
        <v>696</v>
      </c>
      <c r="F133" s="35">
        <v>14414</v>
      </c>
      <c r="G133" s="40">
        <v>14414</v>
      </c>
      <c r="H133" s="35">
        <v>0</v>
      </c>
      <c r="I133" s="35">
        <f t="shared" si="4"/>
        <v>14414</v>
      </c>
      <c r="J133" s="36">
        <f t="shared" si="5"/>
        <v>0</v>
      </c>
      <c r="K133" s="48" t="s">
        <v>83</v>
      </c>
      <c r="L133" s="48" t="s">
        <v>83</v>
      </c>
      <c r="M133" s="38">
        <v>41820</v>
      </c>
      <c r="N133" s="48"/>
      <c r="O133" s="35">
        <v>14414</v>
      </c>
      <c r="P133" s="35"/>
      <c r="Q133" s="35"/>
      <c r="R133" s="35"/>
      <c r="S133" s="41"/>
    </row>
    <row r="134" spans="1:19" s="15" customFormat="1" ht="26.25" customHeight="1" x14ac:dyDescent="0.2">
      <c r="A134" s="43" t="s">
        <v>717</v>
      </c>
      <c r="B134" s="46" t="s">
        <v>41</v>
      </c>
      <c r="C134" s="44" t="s">
        <v>731</v>
      </c>
      <c r="D134" s="47">
        <v>7831</v>
      </c>
      <c r="E134" s="46" t="s">
        <v>740</v>
      </c>
      <c r="F134" s="35">
        <v>7853</v>
      </c>
      <c r="G134" s="40">
        <v>7853</v>
      </c>
      <c r="H134" s="35">
        <v>0</v>
      </c>
      <c r="I134" s="35">
        <f t="shared" si="4"/>
        <v>7853</v>
      </c>
      <c r="J134" s="36">
        <f t="shared" si="5"/>
        <v>0</v>
      </c>
      <c r="K134" s="48" t="s">
        <v>83</v>
      </c>
      <c r="L134" s="48" t="s">
        <v>85</v>
      </c>
      <c r="M134" s="38">
        <v>41820</v>
      </c>
      <c r="N134" s="48"/>
      <c r="O134" s="35">
        <v>7853</v>
      </c>
      <c r="P134" s="35"/>
      <c r="Q134" s="35"/>
      <c r="R134" s="35"/>
      <c r="S134" s="41"/>
    </row>
    <row r="135" spans="1:19" s="15" customFormat="1" ht="26.25" customHeight="1" x14ac:dyDescent="0.2">
      <c r="A135" s="43" t="s">
        <v>1002</v>
      </c>
      <c r="B135" s="46" t="s">
        <v>41</v>
      </c>
      <c r="C135" s="44" t="s">
        <v>731</v>
      </c>
      <c r="D135" s="47">
        <v>8372</v>
      </c>
      <c r="E135" s="46" t="s">
        <v>1016</v>
      </c>
      <c r="F135" s="35">
        <v>18570</v>
      </c>
      <c r="G135" s="35">
        <v>18570</v>
      </c>
      <c r="H135" s="35">
        <v>0</v>
      </c>
      <c r="I135" s="35">
        <f t="shared" si="4"/>
        <v>18570</v>
      </c>
      <c r="J135" s="36">
        <f t="shared" si="5"/>
        <v>0</v>
      </c>
      <c r="K135" s="48" t="s">
        <v>83</v>
      </c>
      <c r="L135" s="48" t="s">
        <v>85</v>
      </c>
      <c r="M135" s="38">
        <v>41820</v>
      </c>
      <c r="N135" s="48"/>
      <c r="O135" s="35">
        <v>18570</v>
      </c>
      <c r="P135" s="35"/>
      <c r="Q135" s="35"/>
      <c r="R135" s="35"/>
      <c r="S135" s="41"/>
    </row>
    <row r="136" spans="1:19" s="15" customFormat="1" ht="18" customHeight="1" x14ac:dyDescent="0.2">
      <c r="A136" s="43" t="s">
        <v>554</v>
      </c>
      <c r="B136" s="46" t="s">
        <v>94</v>
      </c>
      <c r="C136" s="44" t="s">
        <v>568</v>
      </c>
      <c r="D136" s="47">
        <v>7471</v>
      </c>
      <c r="E136" s="46" t="s">
        <v>579</v>
      </c>
      <c r="F136" s="35">
        <f>10000*3</f>
        <v>30000</v>
      </c>
      <c r="G136" s="40">
        <f>10000*3</f>
        <v>30000</v>
      </c>
      <c r="H136" s="35">
        <v>0</v>
      </c>
      <c r="I136" s="35">
        <f t="shared" si="4"/>
        <v>30000</v>
      </c>
      <c r="J136" s="36">
        <f t="shared" si="5"/>
        <v>0</v>
      </c>
      <c r="K136" s="48" t="s">
        <v>83</v>
      </c>
      <c r="L136" s="48" t="s">
        <v>85</v>
      </c>
      <c r="M136" s="38">
        <v>41820</v>
      </c>
      <c r="N136" s="48" t="s">
        <v>84</v>
      </c>
      <c r="O136" s="35">
        <v>10000</v>
      </c>
      <c r="P136" s="35">
        <v>10000</v>
      </c>
      <c r="Q136" s="35">
        <v>10000</v>
      </c>
      <c r="R136" s="35"/>
      <c r="S136" s="41"/>
    </row>
    <row r="137" spans="1:19" s="15" customFormat="1" ht="26.25" customHeight="1" x14ac:dyDescent="0.2">
      <c r="A137" s="43" t="s">
        <v>725</v>
      </c>
      <c r="B137" s="46" t="s">
        <v>315</v>
      </c>
      <c r="C137" s="44" t="s">
        <v>736</v>
      </c>
      <c r="D137" s="47">
        <v>7886</v>
      </c>
      <c r="E137" s="46" t="s">
        <v>745</v>
      </c>
      <c r="F137" s="35">
        <v>15000</v>
      </c>
      <c r="G137" s="40">
        <v>15000</v>
      </c>
      <c r="H137" s="35">
        <v>0</v>
      </c>
      <c r="I137" s="35">
        <f t="shared" si="4"/>
        <v>15000</v>
      </c>
      <c r="J137" s="36">
        <f t="shared" si="5"/>
        <v>0</v>
      </c>
      <c r="K137" s="48" t="s">
        <v>83</v>
      </c>
      <c r="L137" s="48" t="s">
        <v>83</v>
      </c>
      <c r="M137" s="38">
        <v>41820</v>
      </c>
      <c r="N137" s="48"/>
      <c r="O137" s="35">
        <v>15000</v>
      </c>
      <c r="P137" s="35"/>
      <c r="Q137" s="35"/>
      <c r="R137" s="35"/>
      <c r="S137" s="41"/>
    </row>
    <row r="138" spans="1:19" s="15" customFormat="1" ht="38.25" customHeight="1" x14ac:dyDescent="0.2">
      <c r="A138" s="43" t="s">
        <v>360</v>
      </c>
      <c r="B138" s="46" t="s">
        <v>47</v>
      </c>
      <c r="C138" s="44" t="s">
        <v>382</v>
      </c>
      <c r="D138" s="47">
        <v>7242</v>
      </c>
      <c r="E138" s="46" t="s">
        <v>390</v>
      </c>
      <c r="F138" s="35">
        <v>25000</v>
      </c>
      <c r="G138" s="40">
        <v>25000</v>
      </c>
      <c r="H138" s="35">
        <v>0</v>
      </c>
      <c r="I138" s="35">
        <f t="shared" si="4"/>
        <v>25000</v>
      </c>
      <c r="J138" s="36">
        <f t="shared" si="5"/>
        <v>0</v>
      </c>
      <c r="K138" s="48" t="s">
        <v>83</v>
      </c>
      <c r="L138" s="48" t="s">
        <v>83</v>
      </c>
      <c r="M138" s="38">
        <v>41820</v>
      </c>
      <c r="N138" s="48"/>
      <c r="O138" s="35">
        <v>25000</v>
      </c>
      <c r="P138" s="35"/>
      <c r="Q138" s="35"/>
      <c r="R138" s="35"/>
      <c r="S138" s="41"/>
    </row>
    <row r="139" spans="1:19" s="15" customFormat="1" ht="26.25" customHeight="1" x14ac:dyDescent="0.2">
      <c r="A139" s="43" t="s">
        <v>361</v>
      </c>
      <c r="B139" s="46" t="s">
        <v>47</v>
      </c>
      <c r="C139" s="44" t="s">
        <v>382</v>
      </c>
      <c r="D139" s="47">
        <v>7241</v>
      </c>
      <c r="E139" s="46" t="s">
        <v>338</v>
      </c>
      <c r="F139" s="35">
        <v>20000</v>
      </c>
      <c r="G139" s="40">
        <v>20000</v>
      </c>
      <c r="H139" s="35">
        <v>0</v>
      </c>
      <c r="I139" s="35">
        <f t="shared" si="4"/>
        <v>20000</v>
      </c>
      <c r="J139" s="36">
        <f t="shared" si="5"/>
        <v>0</v>
      </c>
      <c r="K139" s="48" t="s">
        <v>83</v>
      </c>
      <c r="L139" s="48" t="s">
        <v>83</v>
      </c>
      <c r="M139" s="38">
        <v>41820</v>
      </c>
      <c r="N139" s="48"/>
      <c r="O139" s="35">
        <v>20000</v>
      </c>
      <c r="P139" s="35"/>
      <c r="Q139" s="35"/>
      <c r="R139" s="35"/>
      <c r="S139" s="41"/>
    </row>
    <row r="140" spans="1:19" s="15" customFormat="1" ht="26.25" customHeight="1" x14ac:dyDescent="0.2">
      <c r="A140" s="43" t="s">
        <v>359</v>
      </c>
      <c r="B140" s="46" t="s">
        <v>47</v>
      </c>
      <c r="C140" s="44" t="s">
        <v>381</v>
      </c>
      <c r="D140" s="47">
        <v>7243</v>
      </c>
      <c r="E140" s="46" t="s">
        <v>338</v>
      </c>
      <c r="F140" s="35">
        <v>20000</v>
      </c>
      <c r="G140" s="35">
        <v>20000</v>
      </c>
      <c r="H140" s="35">
        <v>0</v>
      </c>
      <c r="I140" s="35">
        <f t="shared" si="4"/>
        <v>20000</v>
      </c>
      <c r="J140" s="36">
        <f t="shared" si="5"/>
        <v>0</v>
      </c>
      <c r="K140" s="48" t="s">
        <v>83</v>
      </c>
      <c r="L140" s="48" t="s">
        <v>83</v>
      </c>
      <c r="M140" s="38">
        <v>41820</v>
      </c>
      <c r="N140" s="48"/>
      <c r="O140" s="35">
        <v>20000</v>
      </c>
      <c r="P140" s="35"/>
      <c r="Q140" s="35"/>
      <c r="R140" s="35"/>
      <c r="S140" s="41"/>
    </row>
    <row r="141" spans="1:19" s="15" customFormat="1" ht="26.25" customHeight="1" x14ac:dyDescent="0.2">
      <c r="A141" s="43" t="s">
        <v>358</v>
      </c>
      <c r="B141" s="46" t="s">
        <v>47</v>
      </c>
      <c r="C141" s="44" t="s">
        <v>380</v>
      </c>
      <c r="D141" s="47">
        <v>7244</v>
      </c>
      <c r="E141" s="46" t="s">
        <v>338</v>
      </c>
      <c r="F141" s="35">
        <v>20000</v>
      </c>
      <c r="G141" s="35">
        <v>20000</v>
      </c>
      <c r="H141" s="35">
        <v>0</v>
      </c>
      <c r="I141" s="35">
        <f t="shared" si="4"/>
        <v>20000</v>
      </c>
      <c r="J141" s="36">
        <f t="shared" si="5"/>
        <v>0</v>
      </c>
      <c r="K141" s="48" t="s">
        <v>83</v>
      </c>
      <c r="L141" s="48" t="s">
        <v>83</v>
      </c>
      <c r="M141" s="38">
        <v>41820</v>
      </c>
      <c r="N141" s="48"/>
      <c r="O141" s="35">
        <v>20000</v>
      </c>
      <c r="P141" s="35"/>
      <c r="Q141" s="35"/>
      <c r="R141" s="35"/>
      <c r="S141" s="41"/>
    </row>
    <row r="142" spans="1:19" s="15" customFormat="1" ht="26.25" customHeight="1" x14ac:dyDescent="0.2">
      <c r="A142" s="43" t="s">
        <v>722</v>
      </c>
      <c r="B142" s="46" t="s">
        <v>41</v>
      </c>
      <c r="C142" s="44" t="s">
        <v>735</v>
      </c>
      <c r="D142" s="47">
        <v>7880</v>
      </c>
      <c r="E142" s="46" t="s">
        <v>749</v>
      </c>
      <c r="F142" s="35">
        <v>7429</v>
      </c>
      <c r="G142" s="40">
        <v>7429</v>
      </c>
      <c r="H142" s="35">
        <v>0</v>
      </c>
      <c r="I142" s="35">
        <f t="shared" si="4"/>
        <v>7429</v>
      </c>
      <c r="J142" s="36">
        <f t="shared" si="5"/>
        <v>0</v>
      </c>
      <c r="K142" s="48" t="s">
        <v>83</v>
      </c>
      <c r="L142" s="48" t="s">
        <v>85</v>
      </c>
      <c r="M142" s="38">
        <v>41820</v>
      </c>
      <c r="N142" s="48"/>
      <c r="O142" s="35">
        <v>7429</v>
      </c>
      <c r="P142" s="35"/>
      <c r="Q142" s="35"/>
      <c r="R142" s="35"/>
      <c r="S142" s="41"/>
    </row>
    <row r="143" spans="1:19" s="15" customFormat="1" ht="26.25" customHeight="1" x14ac:dyDescent="0.2">
      <c r="A143" s="43" t="s">
        <v>726</v>
      </c>
      <c r="B143" s="46" t="s">
        <v>41</v>
      </c>
      <c r="C143" s="44" t="s">
        <v>735</v>
      </c>
      <c r="D143" s="47">
        <v>7887</v>
      </c>
      <c r="E143" s="46" t="s">
        <v>746</v>
      </c>
      <c r="F143" s="35">
        <v>13411</v>
      </c>
      <c r="G143" s="40">
        <v>13411</v>
      </c>
      <c r="H143" s="35">
        <v>0</v>
      </c>
      <c r="I143" s="35">
        <f t="shared" si="4"/>
        <v>13411</v>
      </c>
      <c r="J143" s="36">
        <f t="shared" si="5"/>
        <v>0</v>
      </c>
      <c r="K143" s="48" t="s">
        <v>83</v>
      </c>
      <c r="L143" s="48" t="s">
        <v>85</v>
      </c>
      <c r="M143" s="38">
        <v>41820</v>
      </c>
      <c r="N143" s="48"/>
      <c r="O143" s="35">
        <v>13411</v>
      </c>
      <c r="P143" s="35"/>
      <c r="Q143" s="35"/>
      <c r="R143" s="35"/>
      <c r="S143" s="41"/>
    </row>
    <row r="144" spans="1:19" s="15" customFormat="1" ht="26.25" customHeight="1" x14ac:dyDescent="0.2">
      <c r="A144" s="43" t="s">
        <v>987</v>
      </c>
      <c r="B144" s="46" t="s">
        <v>41</v>
      </c>
      <c r="C144" s="44" t="s">
        <v>735</v>
      </c>
      <c r="D144" s="47">
        <v>8324</v>
      </c>
      <c r="E144" s="46" t="s">
        <v>999</v>
      </c>
      <c r="F144" s="35">
        <v>19629</v>
      </c>
      <c r="G144" s="35">
        <v>19629</v>
      </c>
      <c r="H144" s="35">
        <v>0</v>
      </c>
      <c r="I144" s="35">
        <f t="shared" si="4"/>
        <v>19629</v>
      </c>
      <c r="J144" s="36">
        <f t="shared" si="5"/>
        <v>0</v>
      </c>
      <c r="K144" s="48" t="s">
        <v>83</v>
      </c>
      <c r="L144" s="48" t="s">
        <v>85</v>
      </c>
      <c r="M144" s="38">
        <v>41820</v>
      </c>
      <c r="N144" s="48"/>
      <c r="O144" s="35">
        <v>19629</v>
      </c>
      <c r="P144" s="35"/>
      <c r="Q144" s="35"/>
      <c r="R144" s="35"/>
      <c r="S144" s="41"/>
    </row>
    <row r="145" spans="1:19" s="15" customFormat="1" ht="26.25" customHeight="1" x14ac:dyDescent="0.2">
      <c r="A145" s="43" t="s">
        <v>169</v>
      </c>
      <c r="B145" s="46" t="s">
        <v>42</v>
      </c>
      <c r="C145" s="44" t="s">
        <v>176</v>
      </c>
      <c r="D145" s="34">
        <v>7002</v>
      </c>
      <c r="E145" s="46" t="s">
        <v>184</v>
      </c>
      <c r="F145" s="35">
        <v>6000</v>
      </c>
      <c r="G145" s="40">
        <v>6000</v>
      </c>
      <c r="H145" s="35">
        <v>0</v>
      </c>
      <c r="I145" s="35">
        <f t="shared" si="4"/>
        <v>6000</v>
      </c>
      <c r="J145" s="36">
        <f t="shared" si="5"/>
        <v>0</v>
      </c>
      <c r="K145" s="48" t="s">
        <v>83</v>
      </c>
      <c r="L145" s="48" t="s">
        <v>83</v>
      </c>
      <c r="M145" s="38">
        <v>41820</v>
      </c>
      <c r="N145" s="48"/>
      <c r="O145" s="41">
        <v>6000</v>
      </c>
      <c r="P145" s="41"/>
      <c r="Q145" s="41"/>
      <c r="R145" s="41"/>
      <c r="S145" s="41"/>
    </row>
    <row r="146" spans="1:19" s="15" customFormat="1" ht="26.25" customHeight="1" x14ac:dyDescent="0.2">
      <c r="A146" s="43" t="s">
        <v>496</v>
      </c>
      <c r="B146" s="46" t="s">
        <v>42</v>
      </c>
      <c r="C146" s="44" t="s">
        <v>176</v>
      </c>
      <c r="D146" s="47" t="s">
        <v>529</v>
      </c>
      <c r="E146" s="46" t="s">
        <v>509</v>
      </c>
      <c r="F146" s="35">
        <v>30000</v>
      </c>
      <c r="G146" s="40">
        <v>7000</v>
      </c>
      <c r="H146" s="35">
        <v>30000</v>
      </c>
      <c r="I146" s="35">
        <f t="shared" si="4"/>
        <v>37000</v>
      </c>
      <c r="J146" s="36">
        <f t="shared" si="5"/>
        <v>4.2857142857142856</v>
      </c>
      <c r="K146" s="48" t="s">
        <v>83</v>
      </c>
      <c r="L146" s="48" t="s">
        <v>83</v>
      </c>
      <c r="M146" s="38">
        <v>41820</v>
      </c>
      <c r="N146" s="48" t="s">
        <v>86</v>
      </c>
      <c r="O146" s="35">
        <v>30000</v>
      </c>
      <c r="P146" s="35"/>
      <c r="Q146" s="35"/>
      <c r="R146" s="35"/>
      <c r="S146" s="41"/>
    </row>
    <row r="147" spans="1:19" s="15" customFormat="1" ht="26.25" customHeight="1" x14ac:dyDescent="0.2">
      <c r="A147" s="43" t="s">
        <v>497</v>
      </c>
      <c r="B147" s="46" t="s">
        <v>39</v>
      </c>
      <c r="C147" s="44" t="s">
        <v>176</v>
      </c>
      <c r="D147" s="47" t="s">
        <v>530</v>
      </c>
      <c r="E147" s="46" t="s">
        <v>510</v>
      </c>
      <c r="F147" s="35">
        <f>20000*3</f>
        <v>60000</v>
      </c>
      <c r="G147" s="40">
        <v>10000</v>
      </c>
      <c r="H147" s="35">
        <f>20000*3</f>
        <v>60000</v>
      </c>
      <c r="I147" s="35">
        <f t="shared" si="4"/>
        <v>70000</v>
      </c>
      <c r="J147" s="36">
        <f t="shared" si="5"/>
        <v>6</v>
      </c>
      <c r="K147" s="48" t="s">
        <v>83</v>
      </c>
      <c r="L147" s="48" t="s">
        <v>83</v>
      </c>
      <c r="M147" s="38">
        <v>41820</v>
      </c>
      <c r="N147" s="48" t="s">
        <v>86</v>
      </c>
      <c r="O147" s="35">
        <v>20000</v>
      </c>
      <c r="P147" s="35">
        <v>20000</v>
      </c>
      <c r="Q147" s="35">
        <v>20000</v>
      </c>
      <c r="R147" s="35"/>
      <c r="S147" s="41"/>
    </row>
    <row r="148" spans="1:19" s="15" customFormat="1" ht="26.25" customHeight="1" x14ac:dyDescent="0.2">
      <c r="A148" s="43" t="s">
        <v>192</v>
      </c>
      <c r="B148" s="46" t="s">
        <v>198</v>
      </c>
      <c r="C148" s="44" t="s">
        <v>206</v>
      </c>
      <c r="D148" s="47" t="s">
        <v>215</v>
      </c>
      <c r="E148" s="46" t="s">
        <v>220</v>
      </c>
      <c r="F148" s="35">
        <f>40000+40000</f>
        <v>80000</v>
      </c>
      <c r="G148" s="40">
        <v>40000</v>
      </c>
      <c r="H148" s="35">
        <f>40000+40000</f>
        <v>80000</v>
      </c>
      <c r="I148" s="35">
        <f t="shared" si="4"/>
        <v>120000</v>
      </c>
      <c r="J148" s="36">
        <f t="shared" si="5"/>
        <v>2</v>
      </c>
      <c r="K148" s="48" t="s">
        <v>83</v>
      </c>
      <c r="L148" s="48" t="s">
        <v>83</v>
      </c>
      <c r="M148" s="38">
        <v>41820</v>
      </c>
      <c r="N148" s="48" t="s">
        <v>86</v>
      </c>
      <c r="O148" s="35">
        <v>40000</v>
      </c>
      <c r="P148" s="35">
        <v>40000</v>
      </c>
      <c r="Q148" s="35"/>
      <c r="R148" s="35"/>
      <c r="S148" s="41"/>
    </row>
    <row r="149" spans="1:19" s="15" customFormat="1" ht="18" customHeight="1" x14ac:dyDescent="0.2">
      <c r="A149" s="43" t="s">
        <v>1042</v>
      </c>
      <c r="B149" s="46" t="s">
        <v>940</v>
      </c>
      <c r="C149" s="44" t="s">
        <v>206</v>
      </c>
      <c r="D149" s="47">
        <v>8483</v>
      </c>
      <c r="E149" s="46" t="s">
        <v>1052</v>
      </c>
      <c r="F149" s="35">
        <v>40000</v>
      </c>
      <c r="G149" s="35">
        <v>40000</v>
      </c>
      <c r="H149" s="35">
        <v>0</v>
      </c>
      <c r="I149" s="35">
        <f t="shared" si="4"/>
        <v>40000</v>
      </c>
      <c r="J149" s="36">
        <f t="shared" si="5"/>
        <v>0</v>
      </c>
      <c r="K149" s="48" t="s">
        <v>83</v>
      </c>
      <c r="L149" s="48" t="s">
        <v>83</v>
      </c>
      <c r="M149" s="38">
        <v>42155</v>
      </c>
      <c r="N149" s="48"/>
      <c r="O149" s="35">
        <v>40000</v>
      </c>
      <c r="P149" s="35"/>
      <c r="Q149" s="35"/>
      <c r="R149" s="35"/>
      <c r="S149" s="41"/>
    </row>
    <row r="150" spans="1:19" s="15" customFormat="1" ht="26.25" customHeight="1" x14ac:dyDescent="0.2">
      <c r="A150" s="43" t="s">
        <v>308</v>
      </c>
      <c r="B150" s="46" t="s">
        <v>315</v>
      </c>
      <c r="C150" s="44" t="s">
        <v>317</v>
      </c>
      <c r="D150" s="47" t="s">
        <v>323</v>
      </c>
      <c r="E150" s="46" t="s">
        <v>324</v>
      </c>
      <c r="F150" s="35">
        <v>99000</v>
      </c>
      <c r="G150" s="40">
        <v>50000</v>
      </c>
      <c r="H150" s="35">
        <f>49000+99000+188000+99000</f>
        <v>435000</v>
      </c>
      <c r="I150" s="35">
        <f t="shared" si="4"/>
        <v>485000</v>
      </c>
      <c r="J150" s="36">
        <f t="shared" si="5"/>
        <v>8.6999999999999993</v>
      </c>
      <c r="K150" s="48" t="s">
        <v>83</v>
      </c>
      <c r="L150" s="48" t="s">
        <v>83</v>
      </c>
      <c r="M150" s="52" t="s">
        <v>331</v>
      </c>
      <c r="N150" s="48" t="s">
        <v>86</v>
      </c>
      <c r="O150" s="35">
        <v>99000</v>
      </c>
      <c r="P150" s="35"/>
      <c r="Q150" s="35"/>
      <c r="R150" s="35"/>
      <c r="S150" s="41"/>
    </row>
    <row r="151" spans="1:19" s="15" customFormat="1" ht="26.25" customHeight="1" x14ac:dyDescent="0.2">
      <c r="A151" s="43" t="s">
        <v>622</v>
      </c>
      <c r="B151" s="46" t="s">
        <v>315</v>
      </c>
      <c r="C151" s="44" t="s">
        <v>317</v>
      </c>
      <c r="D151" s="47" t="s">
        <v>639</v>
      </c>
      <c r="E151" s="46" t="s">
        <v>632</v>
      </c>
      <c r="F151" s="35">
        <v>40000</v>
      </c>
      <c r="G151" s="40">
        <v>5000</v>
      </c>
      <c r="H151" s="35">
        <f>50000+40000</f>
        <v>90000</v>
      </c>
      <c r="I151" s="35">
        <f t="shared" si="4"/>
        <v>95000</v>
      </c>
      <c r="J151" s="36">
        <f t="shared" si="5"/>
        <v>18</v>
      </c>
      <c r="K151" s="48" t="s">
        <v>83</v>
      </c>
      <c r="L151" s="48" t="s">
        <v>83</v>
      </c>
      <c r="M151" s="52">
        <v>41456</v>
      </c>
      <c r="N151" s="48" t="s">
        <v>86</v>
      </c>
      <c r="O151" s="35">
        <v>40000</v>
      </c>
      <c r="P151" s="35"/>
      <c r="Q151" s="35"/>
      <c r="R151" s="35"/>
      <c r="S151" s="41"/>
    </row>
    <row r="152" spans="1:19" s="15" customFormat="1" ht="38.25" customHeight="1" x14ac:dyDescent="0.2">
      <c r="A152" s="43" t="s">
        <v>366</v>
      </c>
      <c r="B152" s="46" t="s">
        <v>47</v>
      </c>
      <c r="C152" s="44" t="s">
        <v>386</v>
      </c>
      <c r="D152" s="47">
        <v>7270</v>
      </c>
      <c r="E152" s="46" t="s">
        <v>388</v>
      </c>
      <c r="F152" s="35">
        <v>30000</v>
      </c>
      <c r="G152" s="40">
        <v>30000</v>
      </c>
      <c r="H152" s="35">
        <v>0</v>
      </c>
      <c r="I152" s="35">
        <f t="shared" si="4"/>
        <v>30000</v>
      </c>
      <c r="J152" s="36">
        <f t="shared" si="5"/>
        <v>0</v>
      </c>
      <c r="K152" s="48" t="s">
        <v>83</v>
      </c>
      <c r="L152" s="48" t="s">
        <v>83</v>
      </c>
      <c r="M152" s="38">
        <v>41820</v>
      </c>
      <c r="N152" s="48"/>
      <c r="O152" s="35">
        <v>30000</v>
      </c>
      <c r="P152" s="35"/>
      <c r="Q152" s="35"/>
      <c r="R152" s="35"/>
      <c r="S152" s="41"/>
    </row>
    <row r="153" spans="1:19" s="15" customFormat="1" ht="26.25" customHeight="1" x14ac:dyDescent="0.2">
      <c r="A153" s="43" t="s">
        <v>988</v>
      </c>
      <c r="B153" s="46" t="s">
        <v>940</v>
      </c>
      <c r="C153" s="44" t="s">
        <v>992</v>
      </c>
      <c r="D153" s="47">
        <v>8325</v>
      </c>
      <c r="E153" s="46" t="s">
        <v>998</v>
      </c>
      <c r="F153" s="35">
        <v>31800</v>
      </c>
      <c r="G153" s="35">
        <v>31800</v>
      </c>
      <c r="H153" s="35">
        <v>0</v>
      </c>
      <c r="I153" s="35">
        <f t="shared" si="4"/>
        <v>31800</v>
      </c>
      <c r="J153" s="36">
        <f t="shared" si="5"/>
        <v>0</v>
      </c>
      <c r="K153" s="48" t="s">
        <v>83</v>
      </c>
      <c r="L153" s="48" t="s">
        <v>83</v>
      </c>
      <c r="M153" s="38">
        <v>42094</v>
      </c>
      <c r="N153" s="48"/>
      <c r="O153" s="35">
        <v>31800</v>
      </c>
      <c r="P153" s="35"/>
      <c r="Q153" s="35"/>
      <c r="R153" s="35"/>
      <c r="S153" s="41"/>
    </row>
    <row r="154" spans="1:19" s="15" customFormat="1" ht="26.25" customHeight="1" x14ac:dyDescent="0.2">
      <c r="A154" s="43" t="s">
        <v>190</v>
      </c>
      <c r="B154" s="46" t="s">
        <v>47</v>
      </c>
      <c r="C154" s="44" t="s">
        <v>204</v>
      </c>
      <c r="D154" s="47" t="s">
        <v>213</v>
      </c>
      <c r="E154" s="46" t="s">
        <v>219</v>
      </c>
      <c r="F154" s="35">
        <v>99000</v>
      </c>
      <c r="G154" s="40">
        <v>99000</v>
      </c>
      <c r="H154" s="35">
        <v>0</v>
      </c>
      <c r="I154" s="35">
        <f t="shared" si="4"/>
        <v>99000</v>
      </c>
      <c r="J154" s="36">
        <f t="shared" si="5"/>
        <v>0</v>
      </c>
      <c r="K154" s="48" t="s">
        <v>83</v>
      </c>
      <c r="L154" s="48" t="s">
        <v>83</v>
      </c>
      <c r="M154" s="38">
        <v>41820</v>
      </c>
      <c r="N154" s="48"/>
      <c r="O154" s="35">
        <v>99000</v>
      </c>
      <c r="P154" s="35"/>
      <c r="Q154" s="35"/>
      <c r="R154" s="35"/>
      <c r="S154" s="41"/>
    </row>
    <row r="155" spans="1:19" s="15" customFormat="1" ht="26.25" customHeight="1" x14ac:dyDescent="0.2">
      <c r="A155" s="43" t="s">
        <v>170</v>
      </c>
      <c r="B155" s="46" t="s">
        <v>39</v>
      </c>
      <c r="C155" s="44" t="s">
        <v>177</v>
      </c>
      <c r="D155" s="34">
        <v>6859</v>
      </c>
      <c r="E155" s="46" t="s">
        <v>185</v>
      </c>
      <c r="F155" s="35">
        <v>5500</v>
      </c>
      <c r="G155" s="40">
        <v>5500</v>
      </c>
      <c r="H155" s="35">
        <v>0</v>
      </c>
      <c r="I155" s="35">
        <f t="shared" si="4"/>
        <v>5500</v>
      </c>
      <c r="J155" s="36">
        <f t="shared" si="5"/>
        <v>0</v>
      </c>
      <c r="K155" s="48" t="s">
        <v>83</v>
      </c>
      <c r="L155" s="48" t="s">
        <v>83</v>
      </c>
      <c r="M155" s="38">
        <v>41547</v>
      </c>
      <c r="N155" s="48"/>
      <c r="O155" s="41">
        <v>5500</v>
      </c>
      <c r="P155" s="41"/>
      <c r="Q155" s="41"/>
      <c r="R155" s="41"/>
      <c r="S155" s="41"/>
    </row>
    <row r="156" spans="1:19" s="15" customFormat="1" ht="26.25" customHeight="1" x14ac:dyDescent="0.2">
      <c r="A156" s="43" t="s">
        <v>245</v>
      </c>
      <c r="B156" s="46" t="s">
        <v>41</v>
      </c>
      <c r="C156" s="44" t="s">
        <v>177</v>
      </c>
      <c r="D156" s="34">
        <v>6859</v>
      </c>
      <c r="E156" s="46" t="s">
        <v>260</v>
      </c>
      <c r="F156" s="35">
        <v>7284</v>
      </c>
      <c r="G156" s="40">
        <v>7284</v>
      </c>
      <c r="H156" s="35">
        <v>0</v>
      </c>
      <c r="I156" s="35">
        <f t="shared" si="4"/>
        <v>7284</v>
      </c>
      <c r="J156" s="36">
        <f t="shared" si="5"/>
        <v>0</v>
      </c>
      <c r="K156" s="48" t="s">
        <v>83</v>
      </c>
      <c r="L156" s="48" t="s">
        <v>85</v>
      </c>
      <c r="M156" s="38">
        <v>41820</v>
      </c>
      <c r="N156" s="48"/>
      <c r="O156" s="35">
        <v>7284</v>
      </c>
      <c r="P156" s="35"/>
      <c r="Q156" s="35"/>
      <c r="R156" s="35"/>
      <c r="S156" s="41"/>
    </row>
    <row r="157" spans="1:19" s="15" customFormat="1" ht="26.25" customHeight="1" x14ac:dyDescent="0.2">
      <c r="A157" s="43" t="s">
        <v>278</v>
      </c>
      <c r="B157" s="46" t="s">
        <v>39</v>
      </c>
      <c r="C157" s="44" t="s">
        <v>177</v>
      </c>
      <c r="D157" s="34">
        <v>7124</v>
      </c>
      <c r="E157" s="46" t="s">
        <v>307</v>
      </c>
      <c r="F157" s="35">
        <v>5941</v>
      </c>
      <c r="G157" s="40">
        <v>5941</v>
      </c>
      <c r="H157" s="35">
        <v>0</v>
      </c>
      <c r="I157" s="35">
        <f t="shared" si="4"/>
        <v>5941</v>
      </c>
      <c r="J157" s="36">
        <f t="shared" si="5"/>
        <v>0</v>
      </c>
      <c r="K157" s="48" t="s">
        <v>83</v>
      </c>
      <c r="L157" s="48" t="s">
        <v>83</v>
      </c>
      <c r="M157" s="38">
        <v>41488</v>
      </c>
      <c r="N157" s="48"/>
      <c r="O157" s="35">
        <v>5941</v>
      </c>
      <c r="P157" s="35"/>
      <c r="Q157" s="35"/>
      <c r="R157" s="35"/>
      <c r="S157" s="41"/>
    </row>
    <row r="158" spans="1:19" s="15" customFormat="1" ht="26.25" customHeight="1" x14ac:dyDescent="0.2">
      <c r="A158" s="43" t="s">
        <v>455</v>
      </c>
      <c r="B158" s="46" t="s">
        <v>39</v>
      </c>
      <c r="C158" s="44" t="s">
        <v>177</v>
      </c>
      <c r="D158" s="34">
        <v>7218</v>
      </c>
      <c r="E158" s="46" t="s">
        <v>460</v>
      </c>
      <c r="F158" s="35">
        <v>5941</v>
      </c>
      <c r="G158" s="40">
        <v>5941</v>
      </c>
      <c r="H158" s="35">
        <v>0</v>
      </c>
      <c r="I158" s="35">
        <f t="shared" si="4"/>
        <v>5941</v>
      </c>
      <c r="J158" s="36">
        <f t="shared" si="5"/>
        <v>0</v>
      </c>
      <c r="K158" s="48" t="s">
        <v>83</v>
      </c>
      <c r="L158" s="48" t="s">
        <v>83</v>
      </c>
      <c r="M158" s="38">
        <v>41488</v>
      </c>
      <c r="N158" s="48"/>
      <c r="O158" s="35">
        <v>5941</v>
      </c>
      <c r="P158" s="35"/>
      <c r="Q158" s="35"/>
      <c r="R158" s="35"/>
      <c r="S158" s="41"/>
    </row>
    <row r="159" spans="1:19" s="15" customFormat="1" ht="26.25" customHeight="1" x14ac:dyDescent="0.2">
      <c r="A159" s="43" t="s">
        <v>658</v>
      </c>
      <c r="B159" s="46" t="s">
        <v>94</v>
      </c>
      <c r="C159" s="46" t="s">
        <v>661</v>
      </c>
      <c r="D159" s="47">
        <v>7751</v>
      </c>
      <c r="E159" s="46" t="s">
        <v>665</v>
      </c>
      <c r="F159" s="35">
        <f>35000*3</f>
        <v>105000</v>
      </c>
      <c r="G159" s="40">
        <f>35000*3</f>
        <v>105000</v>
      </c>
      <c r="H159" s="35">
        <v>0</v>
      </c>
      <c r="I159" s="35">
        <f t="shared" si="4"/>
        <v>105000</v>
      </c>
      <c r="J159" s="36">
        <f t="shared" si="5"/>
        <v>0</v>
      </c>
      <c r="K159" s="48" t="s">
        <v>83</v>
      </c>
      <c r="L159" s="48" t="s">
        <v>83</v>
      </c>
      <c r="M159" s="38">
        <v>41820</v>
      </c>
      <c r="N159" s="48" t="s">
        <v>84</v>
      </c>
      <c r="O159" s="35">
        <v>35000</v>
      </c>
      <c r="P159" s="35">
        <v>35000</v>
      </c>
      <c r="Q159" s="35">
        <v>35000</v>
      </c>
      <c r="R159" s="35"/>
      <c r="S159" s="41"/>
    </row>
    <row r="160" spans="1:19" s="15" customFormat="1" ht="26.25" customHeight="1" x14ac:dyDescent="0.2">
      <c r="A160" s="43" t="s">
        <v>903</v>
      </c>
      <c r="B160" s="46" t="s">
        <v>46</v>
      </c>
      <c r="C160" s="44" t="s">
        <v>910</v>
      </c>
      <c r="D160" s="47">
        <v>8205</v>
      </c>
      <c r="E160" s="46" t="s">
        <v>919</v>
      </c>
      <c r="F160" s="35">
        <f>30000*3</f>
        <v>90000</v>
      </c>
      <c r="G160" s="35">
        <f>30000*3</f>
        <v>90000</v>
      </c>
      <c r="H160" s="35">
        <v>0</v>
      </c>
      <c r="I160" s="35">
        <f t="shared" si="4"/>
        <v>90000</v>
      </c>
      <c r="J160" s="36">
        <f t="shared" si="5"/>
        <v>0</v>
      </c>
      <c r="K160" s="48" t="s">
        <v>83</v>
      </c>
      <c r="L160" s="48" t="s">
        <v>83</v>
      </c>
      <c r="M160" s="38">
        <v>41820</v>
      </c>
      <c r="N160" s="48" t="s">
        <v>84</v>
      </c>
      <c r="O160" s="35">
        <v>30000</v>
      </c>
      <c r="P160" s="35">
        <v>30000</v>
      </c>
      <c r="Q160" s="35">
        <v>30000</v>
      </c>
      <c r="R160" s="35"/>
      <c r="S160" s="41"/>
    </row>
    <row r="161" spans="1:19" s="15" customFormat="1" ht="26.25" customHeight="1" x14ac:dyDescent="0.2">
      <c r="A161" s="43" t="s">
        <v>925</v>
      </c>
      <c r="B161" s="46" t="s">
        <v>46</v>
      </c>
      <c r="C161" s="44" t="s">
        <v>910</v>
      </c>
      <c r="D161" s="47">
        <v>8205</v>
      </c>
      <c r="E161" s="46" t="s">
        <v>919</v>
      </c>
      <c r="F161" s="35">
        <f>40000+40000</f>
        <v>80000</v>
      </c>
      <c r="G161" s="35">
        <v>50000</v>
      </c>
      <c r="H161" s="35">
        <f>40000+40000</f>
        <v>80000</v>
      </c>
      <c r="I161" s="35">
        <f t="shared" si="4"/>
        <v>130000</v>
      </c>
      <c r="J161" s="36">
        <f t="shared" si="5"/>
        <v>1.6</v>
      </c>
      <c r="K161" s="48" t="s">
        <v>83</v>
      </c>
      <c r="L161" s="48" t="s">
        <v>83</v>
      </c>
      <c r="M161" s="38">
        <v>41820</v>
      </c>
      <c r="N161" s="48" t="s">
        <v>86</v>
      </c>
      <c r="O161" s="35">
        <v>40000</v>
      </c>
      <c r="P161" s="35">
        <v>40000</v>
      </c>
      <c r="Q161" s="35"/>
      <c r="R161" s="35"/>
      <c r="S161" s="41"/>
    </row>
    <row r="162" spans="1:19" s="15" customFormat="1" ht="18" customHeight="1" x14ac:dyDescent="0.2">
      <c r="A162" s="43" t="s">
        <v>813</v>
      </c>
      <c r="B162" s="46" t="s">
        <v>46</v>
      </c>
      <c r="C162" s="44" t="s">
        <v>819</v>
      </c>
      <c r="D162" s="47">
        <v>8024</v>
      </c>
      <c r="E162" s="46" t="s">
        <v>824</v>
      </c>
      <c r="F162" s="35">
        <v>6874</v>
      </c>
      <c r="G162" s="40">
        <v>6874</v>
      </c>
      <c r="H162" s="35">
        <v>0</v>
      </c>
      <c r="I162" s="35">
        <f t="shared" si="4"/>
        <v>6874</v>
      </c>
      <c r="J162" s="36">
        <f t="shared" si="5"/>
        <v>0</v>
      </c>
      <c r="K162" s="48" t="s">
        <v>83</v>
      </c>
      <c r="L162" s="48" t="s">
        <v>83</v>
      </c>
      <c r="M162" s="38">
        <v>42794</v>
      </c>
      <c r="N162" s="48"/>
      <c r="O162" s="35">
        <v>6874</v>
      </c>
      <c r="P162" s="35"/>
      <c r="Q162" s="35"/>
      <c r="R162" s="35"/>
      <c r="S162" s="41"/>
    </row>
    <row r="163" spans="1:19" s="15" customFormat="1" ht="26.25" customHeight="1" x14ac:dyDescent="0.2">
      <c r="A163" s="43" t="s">
        <v>172</v>
      </c>
      <c r="B163" s="46" t="s">
        <v>39</v>
      </c>
      <c r="C163" s="44" t="s">
        <v>179</v>
      </c>
      <c r="D163" s="34">
        <v>6928</v>
      </c>
      <c r="E163" s="46" t="s">
        <v>186</v>
      </c>
      <c r="F163" s="35">
        <v>27500</v>
      </c>
      <c r="G163" s="40">
        <v>27500</v>
      </c>
      <c r="H163" s="35">
        <v>0</v>
      </c>
      <c r="I163" s="35">
        <f t="shared" si="4"/>
        <v>27500</v>
      </c>
      <c r="J163" s="36">
        <f t="shared" si="5"/>
        <v>0</v>
      </c>
      <c r="K163" s="48" t="s">
        <v>83</v>
      </c>
      <c r="L163" s="48" t="s">
        <v>83</v>
      </c>
      <c r="M163" s="38">
        <v>41820</v>
      </c>
      <c r="N163" s="37"/>
      <c r="O163" s="41">
        <v>27500</v>
      </c>
      <c r="P163" s="41"/>
      <c r="Q163" s="41"/>
      <c r="R163" s="41"/>
      <c r="S163" s="41"/>
    </row>
    <row r="164" spans="1:19" s="15" customFormat="1" ht="26.25" customHeight="1" x14ac:dyDescent="0.2">
      <c r="A164" s="43" t="s">
        <v>157</v>
      </c>
      <c r="B164" s="46" t="s">
        <v>159</v>
      </c>
      <c r="C164" s="44" t="s">
        <v>161</v>
      </c>
      <c r="D164" s="34">
        <v>6943</v>
      </c>
      <c r="E164" s="46" t="s">
        <v>164</v>
      </c>
      <c r="F164" s="35">
        <v>5400</v>
      </c>
      <c r="G164" s="40">
        <v>5400</v>
      </c>
      <c r="H164" s="35">
        <v>0</v>
      </c>
      <c r="I164" s="35">
        <f t="shared" si="4"/>
        <v>5400</v>
      </c>
      <c r="J164" s="36">
        <f t="shared" si="5"/>
        <v>0</v>
      </c>
      <c r="K164" s="48" t="s">
        <v>83</v>
      </c>
      <c r="L164" s="48" t="s">
        <v>83</v>
      </c>
      <c r="M164" s="38">
        <v>41820</v>
      </c>
      <c r="N164" s="37"/>
      <c r="O164" s="41">
        <v>5400</v>
      </c>
      <c r="P164" s="41"/>
      <c r="Q164" s="41"/>
      <c r="R164" s="41"/>
      <c r="S164" s="41"/>
    </row>
    <row r="165" spans="1:19" s="15" customFormat="1" ht="26.25" customHeight="1" x14ac:dyDescent="0.2">
      <c r="A165" s="43" t="s">
        <v>272</v>
      </c>
      <c r="B165" s="46" t="s">
        <v>159</v>
      </c>
      <c r="C165" s="44" t="s">
        <v>161</v>
      </c>
      <c r="D165" s="47" t="s">
        <v>293</v>
      </c>
      <c r="E165" s="46" t="s">
        <v>301</v>
      </c>
      <c r="F165" s="35">
        <v>15200</v>
      </c>
      <c r="G165" s="40">
        <v>5400</v>
      </c>
      <c r="H165" s="35">
        <v>15200</v>
      </c>
      <c r="I165" s="35">
        <f t="shared" si="4"/>
        <v>20600</v>
      </c>
      <c r="J165" s="36">
        <f t="shared" si="5"/>
        <v>2.8148148148148149</v>
      </c>
      <c r="K165" s="48" t="s">
        <v>83</v>
      </c>
      <c r="L165" s="48" t="s">
        <v>83</v>
      </c>
      <c r="M165" s="38">
        <v>41820</v>
      </c>
      <c r="N165" s="48" t="s">
        <v>86</v>
      </c>
      <c r="O165" s="35">
        <v>15200</v>
      </c>
      <c r="P165" s="35"/>
      <c r="Q165" s="35"/>
      <c r="R165" s="35"/>
      <c r="S165" s="41"/>
    </row>
    <row r="166" spans="1:19" s="15" customFormat="1" ht="26.25" customHeight="1" x14ac:dyDescent="0.2">
      <c r="A166" s="43" t="s">
        <v>1079</v>
      </c>
      <c r="B166" s="46" t="s">
        <v>940</v>
      </c>
      <c r="C166" s="44" t="s">
        <v>161</v>
      </c>
      <c r="D166" s="47">
        <v>8517</v>
      </c>
      <c r="E166" s="46" t="s">
        <v>1082</v>
      </c>
      <c r="F166" s="35">
        <f>33089+35000+38000</f>
        <v>106089</v>
      </c>
      <c r="G166" s="35">
        <f>33089+35000+38000</f>
        <v>106089</v>
      </c>
      <c r="H166" s="35">
        <v>0</v>
      </c>
      <c r="I166" s="35">
        <f t="shared" si="4"/>
        <v>106089</v>
      </c>
      <c r="J166" s="36">
        <f t="shared" si="5"/>
        <v>0</v>
      </c>
      <c r="K166" s="48" t="s">
        <v>83</v>
      </c>
      <c r="L166" s="48" t="s">
        <v>83</v>
      </c>
      <c r="M166" s="38">
        <v>42134</v>
      </c>
      <c r="N166" s="48" t="s">
        <v>84</v>
      </c>
      <c r="O166" s="35">
        <v>33089</v>
      </c>
      <c r="P166" s="35">
        <v>35000</v>
      </c>
      <c r="Q166" s="35">
        <v>38000</v>
      </c>
      <c r="R166" s="35"/>
      <c r="S166" s="41"/>
    </row>
    <row r="167" spans="1:19" s="15" customFormat="1" ht="26.25" customHeight="1" x14ac:dyDescent="0.2">
      <c r="A167" s="43" t="s">
        <v>265</v>
      </c>
      <c r="B167" s="46" t="s">
        <v>40</v>
      </c>
      <c r="C167" s="44" t="s">
        <v>279</v>
      </c>
      <c r="D167" s="34">
        <v>6347</v>
      </c>
      <c r="E167" s="46" t="s">
        <v>294</v>
      </c>
      <c r="F167" s="35">
        <f>30000*3</f>
        <v>90000</v>
      </c>
      <c r="G167" s="40">
        <f>30000*3</f>
        <v>90000</v>
      </c>
      <c r="H167" s="35">
        <v>0</v>
      </c>
      <c r="I167" s="35">
        <f t="shared" si="4"/>
        <v>90000</v>
      </c>
      <c r="J167" s="36">
        <f t="shared" si="5"/>
        <v>0</v>
      </c>
      <c r="K167" s="48" t="s">
        <v>83</v>
      </c>
      <c r="L167" s="48" t="s">
        <v>85</v>
      </c>
      <c r="M167" s="52">
        <v>41820</v>
      </c>
      <c r="N167" s="48" t="s">
        <v>84</v>
      </c>
      <c r="O167" s="35">
        <v>30000</v>
      </c>
      <c r="P167" s="35">
        <v>30000</v>
      </c>
      <c r="Q167" s="35">
        <v>30000</v>
      </c>
      <c r="R167" s="35"/>
      <c r="S167" s="41"/>
    </row>
    <row r="168" spans="1:19" s="15" customFormat="1" ht="26.25" customHeight="1" x14ac:dyDescent="0.2">
      <c r="A168" s="43" t="s">
        <v>227</v>
      </c>
      <c r="B168" s="46" t="s">
        <v>159</v>
      </c>
      <c r="C168" s="44" t="s">
        <v>232</v>
      </c>
      <c r="D168" s="47" t="s">
        <v>236</v>
      </c>
      <c r="E168" s="46" t="s">
        <v>237</v>
      </c>
      <c r="F168" s="35">
        <v>15522</v>
      </c>
      <c r="G168" s="40">
        <v>15522</v>
      </c>
      <c r="H168" s="35">
        <v>0</v>
      </c>
      <c r="I168" s="35">
        <f t="shared" si="4"/>
        <v>15522</v>
      </c>
      <c r="J168" s="36">
        <f t="shared" si="5"/>
        <v>0</v>
      </c>
      <c r="K168" s="48" t="s">
        <v>83</v>
      </c>
      <c r="L168" s="48" t="s">
        <v>83</v>
      </c>
      <c r="M168" s="38">
        <v>41851</v>
      </c>
      <c r="N168" s="48"/>
      <c r="O168" s="35">
        <v>15522</v>
      </c>
      <c r="P168" s="35"/>
      <c r="Q168" s="35"/>
      <c r="R168" s="35"/>
      <c r="S168" s="41"/>
    </row>
    <row r="169" spans="1:19" s="15" customFormat="1" ht="26.25" customHeight="1" x14ac:dyDescent="0.2">
      <c r="A169" s="43" t="s">
        <v>266</v>
      </c>
      <c r="B169" s="46" t="s">
        <v>124</v>
      </c>
      <c r="C169" s="44" t="s">
        <v>280</v>
      </c>
      <c r="D169" s="47">
        <v>6588</v>
      </c>
      <c r="E169" s="46" t="s">
        <v>295</v>
      </c>
      <c r="F169" s="35">
        <v>49000</v>
      </c>
      <c r="G169" s="40">
        <v>49000</v>
      </c>
      <c r="H169" s="35">
        <v>0</v>
      </c>
      <c r="I169" s="35">
        <f t="shared" si="4"/>
        <v>49000</v>
      </c>
      <c r="J169" s="36">
        <f t="shared" si="5"/>
        <v>0</v>
      </c>
      <c r="K169" s="48" t="s">
        <v>83</v>
      </c>
      <c r="L169" s="48" t="s">
        <v>83</v>
      </c>
      <c r="M169" s="52">
        <v>41820</v>
      </c>
      <c r="N169" s="48"/>
      <c r="O169" s="35">
        <v>49000</v>
      </c>
      <c r="P169" s="35"/>
      <c r="Q169" s="35"/>
      <c r="R169" s="35"/>
      <c r="S169" s="41"/>
    </row>
    <row r="170" spans="1:19" s="15" customFormat="1" ht="26.25" customHeight="1" x14ac:dyDescent="0.2">
      <c r="A170" s="43" t="s">
        <v>989</v>
      </c>
      <c r="B170" s="46" t="s">
        <v>40</v>
      </c>
      <c r="C170" s="44" t="s">
        <v>993</v>
      </c>
      <c r="D170" s="47">
        <v>8332</v>
      </c>
      <c r="E170" s="46" t="s">
        <v>997</v>
      </c>
      <c r="F170" s="35">
        <v>20000</v>
      </c>
      <c r="G170" s="35">
        <v>20000</v>
      </c>
      <c r="H170" s="35">
        <v>0</v>
      </c>
      <c r="I170" s="35">
        <f t="shared" si="4"/>
        <v>20000</v>
      </c>
      <c r="J170" s="36">
        <f t="shared" si="5"/>
        <v>0</v>
      </c>
      <c r="K170" s="48" t="s">
        <v>83</v>
      </c>
      <c r="L170" s="48" t="s">
        <v>83</v>
      </c>
      <c r="M170" s="38">
        <v>41820</v>
      </c>
      <c r="N170" s="48"/>
      <c r="O170" s="35">
        <v>20000</v>
      </c>
      <c r="P170" s="35"/>
      <c r="Q170" s="35"/>
      <c r="R170" s="35"/>
      <c r="S170" s="41"/>
    </row>
    <row r="171" spans="1:19" s="15" customFormat="1" ht="26.25" customHeight="1" x14ac:dyDescent="0.2">
      <c r="A171" s="43" t="s">
        <v>193</v>
      </c>
      <c r="B171" s="46" t="s">
        <v>199</v>
      </c>
      <c r="C171" s="44" t="s">
        <v>207</v>
      </c>
      <c r="D171" s="34">
        <v>6925</v>
      </c>
      <c r="E171" s="46" t="s">
        <v>221</v>
      </c>
      <c r="F171" s="35">
        <v>99000</v>
      </c>
      <c r="G171" s="40">
        <v>99000</v>
      </c>
      <c r="H171" s="35">
        <v>0</v>
      </c>
      <c r="I171" s="35">
        <f t="shared" si="4"/>
        <v>99000</v>
      </c>
      <c r="J171" s="36">
        <f t="shared" si="5"/>
        <v>0</v>
      </c>
      <c r="K171" s="48" t="s">
        <v>83</v>
      </c>
      <c r="L171" s="48" t="s">
        <v>83</v>
      </c>
      <c r="M171" s="38">
        <v>41820</v>
      </c>
      <c r="N171" s="37"/>
      <c r="O171" s="35">
        <v>99000</v>
      </c>
      <c r="P171" s="35"/>
      <c r="Q171" s="35"/>
      <c r="R171" s="35"/>
      <c r="S171" s="41"/>
    </row>
    <row r="172" spans="1:19" s="15" customFormat="1" ht="26.25" customHeight="1" x14ac:dyDescent="0.2">
      <c r="A172" s="43" t="s">
        <v>659</v>
      </c>
      <c r="B172" s="46" t="s">
        <v>41</v>
      </c>
      <c r="C172" s="46" t="s">
        <v>662</v>
      </c>
      <c r="D172" s="47">
        <v>7761</v>
      </c>
      <c r="E172" s="46" t="s">
        <v>664</v>
      </c>
      <c r="F172" s="35">
        <v>7500</v>
      </c>
      <c r="G172" s="40">
        <v>7500</v>
      </c>
      <c r="H172" s="35">
        <v>0</v>
      </c>
      <c r="I172" s="35">
        <f t="shared" si="4"/>
        <v>7500</v>
      </c>
      <c r="J172" s="36">
        <f t="shared" si="5"/>
        <v>0</v>
      </c>
      <c r="K172" s="48" t="s">
        <v>83</v>
      </c>
      <c r="L172" s="48" t="s">
        <v>83</v>
      </c>
      <c r="M172" s="38">
        <v>41820</v>
      </c>
      <c r="N172" s="48"/>
      <c r="O172" s="35">
        <v>7500</v>
      </c>
      <c r="P172" s="35"/>
      <c r="Q172" s="35"/>
      <c r="R172" s="35"/>
      <c r="S172" s="41"/>
    </row>
    <row r="173" spans="1:19" s="15" customFormat="1" ht="26.25" customHeight="1" x14ac:dyDescent="0.2">
      <c r="A173" s="43" t="s">
        <v>841</v>
      </c>
      <c r="B173" s="46" t="s">
        <v>41</v>
      </c>
      <c r="C173" s="44" t="s">
        <v>662</v>
      </c>
      <c r="D173" s="47" t="s">
        <v>853</v>
      </c>
      <c r="E173" s="46" t="s">
        <v>664</v>
      </c>
      <c r="F173" s="35">
        <v>12000</v>
      </c>
      <c r="G173" s="40">
        <v>7500</v>
      </c>
      <c r="H173" s="35">
        <v>12000</v>
      </c>
      <c r="I173" s="35">
        <f t="shared" si="4"/>
        <v>19500</v>
      </c>
      <c r="J173" s="36">
        <f t="shared" si="5"/>
        <v>1.6</v>
      </c>
      <c r="K173" s="48" t="s">
        <v>83</v>
      </c>
      <c r="L173" s="48" t="s">
        <v>83</v>
      </c>
      <c r="M173" s="38">
        <v>41820</v>
      </c>
      <c r="N173" s="48" t="s">
        <v>86</v>
      </c>
      <c r="O173" s="35">
        <v>12000</v>
      </c>
      <c r="P173" s="35"/>
      <c r="Q173" s="35"/>
      <c r="R173" s="35"/>
      <c r="S173" s="41"/>
    </row>
    <row r="174" spans="1:19" s="15" customFormat="1" ht="26.25" customHeight="1" x14ac:dyDescent="0.2">
      <c r="A174" s="43" t="s">
        <v>357</v>
      </c>
      <c r="B174" s="46" t="s">
        <v>47</v>
      </c>
      <c r="C174" s="44" t="s">
        <v>379</v>
      </c>
      <c r="D174" s="47">
        <v>7245</v>
      </c>
      <c r="E174" s="46" t="s">
        <v>338</v>
      </c>
      <c r="F174" s="35">
        <v>30000</v>
      </c>
      <c r="G174" s="40">
        <v>30000</v>
      </c>
      <c r="H174" s="35">
        <v>0</v>
      </c>
      <c r="I174" s="35">
        <f t="shared" si="4"/>
        <v>30000</v>
      </c>
      <c r="J174" s="36">
        <f t="shared" si="5"/>
        <v>0</v>
      </c>
      <c r="K174" s="48" t="s">
        <v>83</v>
      </c>
      <c r="L174" s="48" t="s">
        <v>83</v>
      </c>
      <c r="M174" s="38">
        <v>41820</v>
      </c>
      <c r="N174" s="48"/>
      <c r="O174" s="35">
        <v>30000</v>
      </c>
      <c r="P174" s="35"/>
      <c r="Q174" s="35"/>
      <c r="R174" s="35"/>
      <c r="S174" s="41"/>
    </row>
    <row r="175" spans="1:19" s="15" customFormat="1" ht="26.25" customHeight="1" x14ac:dyDescent="0.2">
      <c r="A175" s="43" t="s">
        <v>626</v>
      </c>
      <c r="B175" s="46" t="s">
        <v>39</v>
      </c>
      <c r="C175" s="44" t="s">
        <v>631</v>
      </c>
      <c r="D175" s="47">
        <v>7649</v>
      </c>
      <c r="E175" s="46" t="s">
        <v>635</v>
      </c>
      <c r="F175" s="35">
        <v>41040</v>
      </c>
      <c r="G175" s="40">
        <v>41040</v>
      </c>
      <c r="H175" s="35">
        <v>0</v>
      </c>
      <c r="I175" s="35">
        <f t="shared" si="4"/>
        <v>41040</v>
      </c>
      <c r="J175" s="36">
        <f t="shared" si="5"/>
        <v>0</v>
      </c>
      <c r="K175" s="48" t="s">
        <v>83</v>
      </c>
      <c r="L175" s="48" t="s">
        <v>83</v>
      </c>
      <c r="M175" s="38">
        <v>41820</v>
      </c>
      <c r="N175" s="48"/>
      <c r="O175" s="35">
        <v>41040</v>
      </c>
      <c r="P175" s="35"/>
      <c r="Q175" s="35"/>
      <c r="R175" s="35"/>
      <c r="S175" s="41"/>
    </row>
    <row r="176" spans="1:19" s="15" customFormat="1" ht="26.25" customHeight="1" x14ac:dyDescent="0.2">
      <c r="A176" s="43" t="s">
        <v>1041</v>
      </c>
      <c r="B176" s="46" t="s">
        <v>39</v>
      </c>
      <c r="C176" s="44" t="s">
        <v>631</v>
      </c>
      <c r="D176" s="47" t="s">
        <v>1046</v>
      </c>
      <c r="E176" s="46" t="s">
        <v>1051</v>
      </c>
      <c r="F176" s="35">
        <v>1500</v>
      </c>
      <c r="G176" s="35">
        <v>41040</v>
      </c>
      <c r="H176" s="35">
        <v>1500</v>
      </c>
      <c r="I176" s="35">
        <f t="shared" si="4"/>
        <v>42540</v>
      </c>
      <c r="J176" s="36">
        <f t="shared" si="5"/>
        <v>3.6549707602339179E-2</v>
      </c>
      <c r="K176" s="48" t="s">
        <v>83</v>
      </c>
      <c r="L176" s="48" t="s">
        <v>83</v>
      </c>
      <c r="M176" s="38">
        <v>41820</v>
      </c>
      <c r="N176" s="48" t="s">
        <v>86</v>
      </c>
      <c r="O176" s="35">
        <v>1500</v>
      </c>
      <c r="P176" s="35"/>
      <c r="Q176" s="35"/>
      <c r="R176" s="35"/>
      <c r="S176" s="41"/>
    </row>
    <row r="177" spans="1:19" s="15" customFormat="1" ht="26.25" customHeight="1" x14ac:dyDescent="0.2">
      <c r="A177" s="43" t="s">
        <v>1021</v>
      </c>
      <c r="B177" s="46" t="s">
        <v>1024</v>
      </c>
      <c r="C177" s="44" t="s">
        <v>1027</v>
      </c>
      <c r="D177" s="47">
        <v>8457</v>
      </c>
      <c r="E177" s="46" t="s">
        <v>1035</v>
      </c>
      <c r="F177" s="35">
        <v>24000</v>
      </c>
      <c r="G177" s="35">
        <v>24000</v>
      </c>
      <c r="H177" s="35">
        <v>0</v>
      </c>
      <c r="I177" s="35">
        <f t="shared" si="4"/>
        <v>24000</v>
      </c>
      <c r="J177" s="36">
        <f t="shared" si="5"/>
        <v>0</v>
      </c>
      <c r="K177" s="48" t="s">
        <v>83</v>
      </c>
      <c r="L177" s="48" t="s">
        <v>85</v>
      </c>
      <c r="M177" s="38">
        <v>42155</v>
      </c>
      <c r="N177" s="48"/>
      <c r="O177" s="35">
        <v>24000</v>
      </c>
      <c r="P177" s="35"/>
      <c r="Q177" s="35"/>
      <c r="R177" s="35"/>
      <c r="S177" s="41"/>
    </row>
    <row r="178" spans="1:19" s="15" customFormat="1" ht="26.25" customHeight="1" x14ac:dyDescent="0.2">
      <c r="A178" s="43" t="s">
        <v>533</v>
      </c>
      <c r="B178" s="46" t="s">
        <v>159</v>
      </c>
      <c r="C178" s="44" t="s">
        <v>537</v>
      </c>
      <c r="D178" s="34">
        <v>7441</v>
      </c>
      <c r="E178" s="46" t="s">
        <v>542</v>
      </c>
      <c r="F178" s="35">
        <v>99000</v>
      </c>
      <c r="G178" s="40">
        <v>99000</v>
      </c>
      <c r="H178" s="35">
        <v>0</v>
      </c>
      <c r="I178" s="35">
        <f t="shared" si="4"/>
        <v>99000</v>
      </c>
      <c r="J178" s="36">
        <f t="shared" si="5"/>
        <v>0</v>
      </c>
      <c r="K178" s="48" t="s">
        <v>85</v>
      </c>
      <c r="L178" s="48" t="s">
        <v>85</v>
      </c>
      <c r="M178" s="38">
        <v>41820</v>
      </c>
      <c r="N178" s="48"/>
      <c r="O178" s="35">
        <v>99000</v>
      </c>
      <c r="P178" s="35"/>
      <c r="Q178" s="35"/>
      <c r="R178" s="35"/>
      <c r="S178" s="41"/>
    </row>
    <row r="179" spans="1:19" s="15" customFormat="1" ht="26.25" customHeight="1" x14ac:dyDescent="0.2">
      <c r="A179" s="43" t="s">
        <v>356</v>
      </c>
      <c r="B179" s="46" t="s">
        <v>47</v>
      </c>
      <c r="C179" s="44" t="s">
        <v>378</v>
      </c>
      <c r="D179" s="47">
        <v>7246</v>
      </c>
      <c r="E179" s="46" t="s">
        <v>338</v>
      </c>
      <c r="F179" s="35">
        <v>20000</v>
      </c>
      <c r="G179" s="40">
        <v>20000</v>
      </c>
      <c r="H179" s="35">
        <v>0</v>
      </c>
      <c r="I179" s="35">
        <f t="shared" si="4"/>
        <v>20000</v>
      </c>
      <c r="J179" s="36">
        <f t="shared" si="5"/>
        <v>0</v>
      </c>
      <c r="K179" s="48" t="s">
        <v>83</v>
      </c>
      <c r="L179" s="48" t="s">
        <v>83</v>
      </c>
      <c r="M179" s="38">
        <v>41820</v>
      </c>
      <c r="N179" s="48"/>
      <c r="O179" s="35">
        <v>20000</v>
      </c>
      <c r="P179" s="35"/>
      <c r="Q179" s="35"/>
      <c r="R179" s="35"/>
      <c r="S179" s="41"/>
    </row>
    <row r="180" spans="1:19" s="15" customFormat="1" ht="26.25" customHeight="1" x14ac:dyDescent="0.2">
      <c r="A180" s="43" t="s">
        <v>499</v>
      </c>
      <c r="B180" s="46" t="s">
        <v>315</v>
      </c>
      <c r="C180" s="44" t="s">
        <v>525</v>
      </c>
      <c r="D180" s="34">
        <v>6711</v>
      </c>
      <c r="E180" s="46" t="s">
        <v>512</v>
      </c>
      <c r="F180" s="35">
        <v>25000</v>
      </c>
      <c r="G180" s="40">
        <v>4999</v>
      </c>
      <c r="H180" s="35">
        <f>10000+20000+25000</f>
        <v>55000</v>
      </c>
      <c r="I180" s="35">
        <f t="shared" si="4"/>
        <v>59999</v>
      </c>
      <c r="J180" s="36">
        <f t="shared" si="5"/>
        <v>11.002200440088018</v>
      </c>
      <c r="K180" s="48" t="s">
        <v>83</v>
      </c>
      <c r="L180" s="48" t="s">
        <v>83</v>
      </c>
      <c r="M180" s="52" t="s">
        <v>331</v>
      </c>
      <c r="N180" s="48" t="s">
        <v>86</v>
      </c>
      <c r="O180" s="35">
        <v>25000</v>
      </c>
      <c r="P180" s="35"/>
      <c r="Q180" s="35"/>
      <c r="R180" s="35"/>
      <c r="S180" s="41"/>
    </row>
    <row r="181" spans="1:19" s="15" customFormat="1" ht="26.25" customHeight="1" x14ac:dyDescent="0.2">
      <c r="A181" s="43" t="s">
        <v>355</v>
      </c>
      <c r="B181" s="46" t="s">
        <v>47</v>
      </c>
      <c r="C181" s="44" t="s">
        <v>377</v>
      </c>
      <c r="D181" s="47">
        <v>7259</v>
      </c>
      <c r="E181" s="46" t="s">
        <v>338</v>
      </c>
      <c r="F181" s="35">
        <v>25000</v>
      </c>
      <c r="G181" s="40">
        <v>25000</v>
      </c>
      <c r="H181" s="35">
        <v>0</v>
      </c>
      <c r="I181" s="35">
        <f t="shared" si="4"/>
        <v>25000</v>
      </c>
      <c r="J181" s="36">
        <f t="shared" si="5"/>
        <v>0</v>
      </c>
      <c r="K181" s="48" t="s">
        <v>83</v>
      </c>
      <c r="L181" s="48" t="s">
        <v>83</v>
      </c>
      <c r="M181" s="38">
        <v>41820</v>
      </c>
      <c r="N181" s="48"/>
      <c r="O181" s="35">
        <v>25000</v>
      </c>
      <c r="P181" s="35"/>
      <c r="Q181" s="35"/>
      <c r="R181" s="35"/>
      <c r="S181" s="41"/>
    </row>
    <row r="182" spans="1:19" s="15" customFormat="1" ht="38.25" customHeight="1" x14ac:dyDescent="0.2">
      <c r="A182" s="43" t="s">
        <v>412</v>
      </c>
      <c r="B182" s="46" t="s">
        <v>159</v>
      </c>
      <c r="C182" s="44" t="s">
        <v>415</v>
      </c>
      <c r="D182" s="34">
        <v>7153</v>
      </c>
      <c r="E182" s="46" t="s">
        <v>596</v>
      </c>
      <c r="F182" s="40">
        <f>66500*3</f>
        <v>199500</v>
      </c>
      <c r="G182" s="40">
        <f>66500*3</f>
        <v>199500</v>
      </c>
      <c r="H182" s="35">
        <v>0</v>
      </c>
      <c r="I182" s="35">
        <f t="shared" si="4"/>
        <v>199500</v>
      </c>
      <c r="J182" s="36">
        <f t="shared" si="5"/>
        <v>0</v>
      </c>
      <c r="K182" s="48" t="s">
        <v>83</v>
      </c>
      <c r="L182" s="48" t="s">
        <v>85</v>
      </c>
      <c r="M182" s="38">
        <v>41912</v>
      </c>
      <c r="N182" s="48" t="s">
        <v>84</v>
      </c>
      <c r="O182" s="35">
        <v>66500</v>
      </c>
      <c r="P182" s="35">
        <v>66500</v>
      </c>
      <c r="Q182" s="35">
        <v>66500</v>
      </c>
      <c r="R182" s="35"/>
      <c r="S182" s="41"/>
    </row>
    <row r="183" spans="1:19" s="15" customFormat="1" ht="38.25" customHeight="1" x14ac:dyDescent="0.2">
      <c r="A183" s="43" t="s">
        <v>478</v>
      </c>
      <c r="B183" s="46" t="s">
        <v>45</v>
      </c>
      <c r="C183" s="44" t="s">
        <v>483</v>
      </c>
      <c r="D183" s="47" t="s">
        <v>65</v>
      </c>
      <c r="E183" s="46" t="s">
        <v>487</v>
      </c>
      <c r="F183" s="35">
        <v>95000</v>
      </c>
      <c r="G183" s="40">
        <v>95000</v>
      </c>
      <c r="H183" s="35">
        <v>0</v>
      </c>
      <c r="I183" s="35">
        <f t="shared" si="4"/>
        <v>95000</v>
      </c>
      <c r="J183" s="36">
        <f t="shared" si="5"/>
        <v>0</v>
      </c>
      <c r="K183" s="48" t="s">
        <v>83</v>
      </c>
      <c r="L183" s="48" t="s">
        <v>83</v>
      </c>
      <c r="M183" s="38">
        <v>41943</v>
      </c>
      <c r="N183" s="48"/>
      <c r="O183" s="35">
        <v>95000</v>
      </c>
      <c r="P183" s="35"/>
      <c r="Q183" s="35"/>
      <c r="R183" s="35"/>
      <c r="S183" s="41"/>
    </row>
    <row r="184" spans="1:19" s="15" customFormat="1" ht="26.25" customHeight="1" x14ac:dyDescent="0.2">
      <c r="A184" s="43" t="s">
        <v>623</v>
      </c>
      <c r="B184" s="46" t="s">
        <v>125</v>
      </c>
      <c r="C184" s="44" t="s">
        <v>629</v>
      </c>
      <c r="D184" s="47">
        <v>7456</v>
      </c>
      <c r="E184" s="46" t="s">
        <v>638</v>
      </c>
      <c r="F184" s="35">
        <v>21650</v>
      </c>
      <c r="G184" s="40">
        <v>21650</v>
      </c>
      <c r="H184" s="35">
        <v>0</v>
      </c>
      <c r="I184" s="35">
        <f t="shared" si="4"/>
        <v>21650</v>
      </c>
      <c r="J184" s="36">
        <f t="shared" si="5"/>
        <v>0</v>
      </c>
      <c r="K184" s="48" t="s">
        <v>85</v>
      </c>
      <c r="L184" s="48" t="s">
        <v>85</v>
      </c>
      <c r="M184" s="52">
        <v>42004</v>
      </c>
      <c r="N184" s="48"/>
      <c r="O184" s="35">
        <v>21650</v>
      </c>
      <c r="P184" s="35"/>
      <c r="Q184" s="35"/>
      <c r="R184" s="35"/>
      <c r="S184" s="41"/>
    </row>
    <row r="185" spans="1:19" s="15" customFormat="1" ht="26.25" customHeight="1" x14ac:dyDescent="0.2">
      <c r="A185" s="43" t="s">
        <v>769</v>
      </c>
      <c r="B185" s="46" t="s">
        <v>125</v>
      </c>
      <c r="C185" s="44" t="s">
        <v>629</v>
      </c>
      <c r="D185" s="47">
        <v>7893</v>
      </c>
      <c r="E185" s="46" t="s">
        <v>779</v>
      </c>
      <c r="F185" s="35">
        <v>13583</v>
      </c>
      <c r="G185" s="40">
        <v>13583</v>
      </c>
      <c r="H185" s="35">
        <v>0</v>
      </c>
      <c r="I185" s="35">
        <f t="shared" si="4"/>
        <v>13583</v>
      </c>
      <c r="J185" s="36">
        <f t="shared" si="5"/>
        <v>0</v>
      </c>
      <c r="K185" s="48" t="s">
        <v>85</v>
      </c>
      <c r="L185" s="48" t="s">
        <v>85</v>
      </c>
      <c r="M185" s="38">
        <v>42004</v>
      </c>
      <c r="N185" s="48"/>
      <c r="O185" s="35">
        <v>13583</v>
      </c>
      <c r="P185" s="35"/>
      <c r="Q185" s="35"/>
      <c r="R185" s="35"/>
      <c r="S185" s="41"/>
    </row>
    <row r="186" spans="1:19" s="15" customFormat="1" ht="38.25" customHeight="1" x14ac:dyDescent="0.2">
      <c r="A186" s="43" t="s">
        <v>19</v>
      </c>
      <c r="B186" s="46" t="s">
        <v>37</v>
      </c>
      <c r="C186" s="44" t="s">
        <v>50</v>
      </c>
      <c r="D186" s="39">
        <v>6270</v>
      </c>
      <c r="E186" s="46" t="s">
        <v>68</v>
      </c>
      <c r="F186" s="35">
        <f>25000*3</f>
        <v>75000</v>
      </c>
      <c r="G186" s="40">
        <f>25000*3</f>
        <v>75000</v>
      </c>
      <c r="H186" s="35">
        <v>0</v>
      </c>
      <c r="I186" s="49">
        <f t="shared" si="4"/>
        <v>75000</v>
      </c>
      <c r="J186" s="51">
        <f t="shared" si="5"/>
        <v>0</v>
      </c>
      <c r="K186" s="48" t="s">
        <v>83</v>
      </c>
      <c r="L186" s="48" t="s">
        <v>83</v>
      </c>
      <c r="M186" s="38">
        <v>41820</v>
      </c>
      <c r="N186" s="48" t="s">
        <v>84</v>
      </c>
      <c r="O186" s="41">
        <v>25000</v>
      </c>
      <c r="P186" s="41">
        <v>25000</v>
      </c>
      <c r="Q186" s="41">
        <v>25000</v>
      </c>
      <c r="R186" s="41"/>
      <c r="S186" s="41"/>
    </row>
    <row r="187" spans="1:19" s="15" customFormat="1" ht="26.25" customHeight="1" x14ac:dyDescent="0.2">
      <c r="A187" s="43" t="s">
        <v>91</v>
      </c>
      <c r="B187" s="46" t="s">
        <v>37</v>
      </c>
      <c r="C187" s="44" t="s">
        <v>50</v>
      </c>
      <c r="D187" s="47" t="s">
        <v>106</v>
      </c>
      <c r="E187" s="46" t="s">
        <v>112</v>
      </c>
      <c r="F187" s="49">
        <v>16640</v>
      </c>
      <c r="G187" s="50">
        <v>18000</v>
      </c>
      <c r="H187" s="49">
        <v>16640</v>
      </c>
      <c r="I187" s="49">
        <f t="shared" si="4"/>
        <v>34640</v>
      </c>
      <c r="J187" s="51">
        <f t="shared" si="5"/>
        <v>0.9244444444444444</v>
      </c>
      <c r="K187" s="48" t="s">
        <v>83</v>
      </c>
      <c r="L187" s="48" t="s">
        <v>83</v>
      </c>
      <c r="M187" s="52">
        <v>41455</v>
      </c>
      <c r="N187" s="48" t="s">
        <v>86</v>
      </c>
      <c r="O187" s="41">
        <v>16640</v>
      </c>
      <c r="P187" s="41"/>
      <c r="Q187" s="41"/>
      <c r="R187" s="41"/>
      <c r="S187" s="41"/>
    </row>
    <row r="188" spans="1:19" s="15" customFormat="1" ht="26.25" customHeight="1" x14ac:dyDescent="0.2">
      <c r="A188" s="43" t="s">
        <v>90</v>
      </c>
      <c r="B188" s="46" t="s">
        <v>94</v>
      </c>
      <c r="C188" s="44" t="s">
        <v>99</v>
      </c>
      <c r="D188" s="47" t="s">
        <v>105</v>
      </c>
      <c r="E188" s="46" t="s">
        <v>111</v>
      </c>
      <c r="F188" s="35">
        <f>12000*2</f>
        <v>24000</v>
      </c>
      <c r="G188" s="40">
        <v>7500</v>
      </c>
      <c r="H188" s="35">
        <f>12000*2</f>
        <v>24000</v>
      </c>
      <c r="I188" s="49">
        <f t="shared" si="4"/>
        <v>31500</v>
      </c>
      <c r="J188" s="51">
        <f t="shared" si="5"/>
        <v>3.2</v>
      </c>
      <c r="K188" s="48" t="s">
        <v>83</v>
      </c>
      <c r="L188" s="48" t="s">
        <v>83</v>
      </c>
      <c r="M188" s="38">
        <v>41820</v>
      </c>
      <c r="N188" s="48" t="s">
        <v>84</v>
      </c>
      <c r="O188" s="41">
        <v>12000</v>
      </c>
      <c r="P188" s="41">
        <v>12000</v>
      </c>
      <c r="Q188" s="41"/>
      <c r="R188" s="41"/>
      <c r="S188" s="41"/>
    </row>
    <row r="189" spans="1:19" s="15" customFormat="1" ht="26.25" customHeight="1" x14ac:dyDescent="0.2">
      <c r="A189" s="43" t="s">
        <v>886</v>
      </c>
      <c r="B189" s="46" t="s">
        <v>94</v>
      </c>
      <c r="C189" s="44" t="s">
        <v>99</v>
      </c>
      <c r="D189" s="47" t="s">
        <v>891</v>
      </c>
      <c r="E189" s="46" t="s">
        <v>895</v>
      </c>
      <c r="F189" s="35">
        <f>15000+15000</f>
        <v>30000</v>
      </c>
      <c r="G189" s="35">
        <v>7500</v>
      </c>
      <c r="H189" s="35">
        <f>12000+15000+15000</f>
        <v>42000</v>
      </c>
      <c r="I189" s="35">
        <f t="shared" si="4"/>
        <v>49500</v>
      </c>
      <c r="J189" s="36">
        <f t="shared" si="5"/>
        <v>5.6</v>
      </c>
      <c r="K189" s="48" t="s">
        <v>83</v>
      </c>
      <c r="L189" s="48" t="s">
        <v>83</v>
      </c>
      <c r="M189" s="38">
        <v>41943</v>
      </c>
      <c r="N189" s="48" t="s">
        <v>86</v>
      </c>
      <c r="O189" s="35">
        <v>15000</v>
      </c>
      <c r="P189" s="35">
        <v>15000</v>
      </c>
      <c r="Q189" s="35"/>
      <c r="R189" s="35"/>
      <c r="S189" s="41"/>
    </row>
    <row r="190" spans="1:19" s="15" customFormat="1" ht="26.25" customHeight="1" x14ac:dyDescent="0.2">
      <c r="A190" s="43" t="s">
        <v>275</v>
      </c>
      <c r="B190" s="46" t="s">
        <v>159</v>
      </c>
      <c r="C190" s="44" t="s">
        <v>288</v>
      </c>
      <c r="D190" s="34">
        <v>7061</v>
      </c>
      <c r="E190" s="46" t="s">
        <v>304</v>
      </c>
      <c r="F190" s="35">
        <v>25000</v>
      </c>
      <c r="G190" s="40">
        <v>25000</v>
      </c>
      <c r="H190" s="35">
        <v>0</v>
      </c>
      <c r="I190" s="35">
        <f t="shared" si="4"/>
        <v>25000</v>
      </c>
      <c r="J190" s="36">
        <f t="shared" si="5"/>
        <v>0</v>
      </c>
      <c r="K190" s="48" t="s">
        <v>83</v>
      </c>
      <c r="L190" s="48" t="s">
        <v>83</v>
      </c>
      <c r="M190" s="52">
        <v>41459</v>
      </c>
      <c r="N190" s="48"/>
      <c r="O190" s="35">
        <v>25000</v>
      </c>
      <c r="P190" s="35"/>
      <c r="Q190" s="35"/>
      <c r="R190" s="35"/>
      <c r="S190" s="41"/>
    </row>
    <row r="191" spans="1:19" s="15" customFormat="1" ht="26.25" customHeight="1" x14ac:dyDescent="0.2">
      <c r="A191" s="43" t="s">
        <v>753</v>
      </c>
      <c r="B191" s="46" t="s">
        <v>159</v>
      </c>
      <c r="C191" s="44" t="s">
        <v>288</v>
      </c>
      <c r="D191" s="47" t="s">
        <v>762</v>
      </c>
      <c r="E191" s="46" t="s">
        <v>765</v>
      </c>
      <c r="F191" s="35">
        <v>74000</v>
      </c>
      <c r="G191" s="40">
        <v>25000</v>
      </c>
      <c r="H191" s="35">
        <v>74000</v>
      </c>
      <c r="I191" s="35">
        <f t="shared" si="4"/>
        <v>99000</v>
      </c>
      <c r="J191" s="36">
        <f t="shared" si="5"/>
        <v>2.96</v>
      </c>
      <c r="K191" s="48" t="s">
        <v>83</v>
      </c>
      <c r="L191" s="48" t="s">
        <v>83</v>
      </c>
      <c r="M191" s="38">
        <v>41820</v>
      </c>
      <c r="N191" s="48" t="s">
        <v>86</v>
      </c>
      <c r="O191" s="35">
        <v>74000</v>
      </c>
      <c r="P191" s="35"/>
      <c r="Q191" s="35"/>
      <c r="R191" s="35"/>
      <c r="S191" s="41"/>
    </row>
    <row r="192" spans="1:19" s="15" customFormat="1" ht="18" customHeight="1" x14ac:dyDescent="0.2">
      <c r="A192" s="43" t="s">
        <v>249</v>
      </c>
      <c r="B192" s="46" t="s">
        <v>44</v>
      </c>
      <c r="C192" s="44" t="s">
        <v>256</v>
      </c>
      <c r="D192" s="34">
        <v>6964</v>
      </c>
      <c r="E192" s="46" t="s">
        <v>264</v>
      </c>
      <c r="F192" s="35">
        <f>49000*3</f>
        <v>147000</v>
      </c>
      <c r="G192" s="40">
        <f>49000*3</f>
        <v>147000</v>
      </c>
      <c r="H192" s="35">
        <v>0</v>
      </c>
      <c r="I192" s="35">
        <f t="shared" si="4"/>
        <v>147000</v>
      </c>
      <c r="J192" s="36">
        <f t="shared" si="5"/>
        <v>0</v>
      </c>
      <c r="K192" s="48" t="s">
        <v>83</v>
      </c>
      <c r="L192" s="48" t="s">
        <v>83</v>
      </c>
      <c r="M192" s="52">
        <v>41912</v>
      </c>
      <c r="N192" s="48" t="s">
        <v>84</v>
      </c>
      <c r="O192" s="35">
        <v>49000</v>
      </c>
      <c r="P192" s="35">
        <v>49000</v>
      </c>
      <c r="Q192" s="35">
        <v>49000</v>
      </c>
      <c r="R192" s="35"/>
      <c r="S192" s="41"/>
    </row>
    <row r="193" spans="1:19" s="15" customFormat="1" ht="18" customHeight="1" x14ac:dyDescent="0.2">
      <c r="A193" s="43" t="s">
        <v>843</v>
      </c>
      <c r="B193" s="46" t="s">
        <v>940</v>
      </c>
      <c r="C193" s="44" t="s">
        <v>851</v>
      </c>
      <c r="D193" s="47">
        <v>8132</v>
      </c>
      <c r="E193" s="46" t="s">
        <v>861</v>
      </c>
      <c r="F193" s="35">
        <f>11065+11500+12000</f>
        <v>34565</v>
      </c>
      <c r="G193" s="35">
        <f>11065+11500+12000</f>
        <v>34565</v>
      </c>
      <c r="H193" s="35">
        <v>0</v>
      </c>
      <c r="I193" s="35">
        <f t="shared" si="4"/>
        <v>34565</v>
      </c>
      <c r="J193" s="36">
        <f t="shared" si="5"/>
        <v>0</v>
      </c>
      <c r="K193" s="48" t="s">
        <v>83</v>
      </c>
      <c r="L193" s="48" t="s">
        <v>83</v>
      </c>
      <c r="M193" s="38">
        <v>42110</v>
      </c>
      <c r="N193" s="48" t="s">
        <v>84</v>
      </c>
      <c r="O193" s="35">
        <v>11065</v>
      </c>
      <c r="P193" s="35">
        <v>11500</v>
      </c>
      <c r="Q193" s="35">
        <v>12000</v>
      </c>
      <c r="R193" s="35"/>
      <c r="S193" s="41"/>
    </row>
    <row r="194" spans="1:19" s="15" customFormat="1" ht="26.25" customHeight="1" x14ac:dyDescent="0.2">
      <c r="A194" s="43" t="s">
        <v>552</v>
      </c>
      <c r="B194" s="46" t="s">
        <v>159</v>
      </c>
      <c r="C194" s="44" t="s">
        <v>566</v>
      </c>
      <c r="D194" s="47">
        <v>7448</v>
      </c>
      <c r="E194" s="46" t="s">
        <v>577</v>
      </c>
      <c r="F194" s="35">
        <v>32250</v>
      </c>
      <c r="G194" s="40">
        <v>32250</v>
      </c>
      <c r="H194" s="35">
        <v>0</v>
      </c>
      <c r="I194" s="35">
        <f t="shared" ref="I194:I257" si="6">G194+H194</f>
        <v>32250</v>
      </c>
      <c r="J194" s="36">
        <f t="shared" ref="J194:J257" si="7">IF(G194=0,100%,(I194-G194)/G194)</f>
        <v>0</v>
      </c>
      <c r="K194" s="48" t="s">
        <v>83</v>
      </c>
      <c r="L194" s="48" t="s">
        <v>83</v>
      </c>
      <c r="M194" s="38">
        <v>41820</v>
      </c>
      <c r="N194" s="48"/>
      <c r="O194" s="35">
        <v>32250</v>
      </c>
      <c r="P194" s="35"/>
      <c r="Q194" s="35"/>
      <c r="R194" s="35"/>
      <c r="S194" s="41"/>
    </row>
    <row r="195" spans="1:19" s="15" customFormat="1" ht="26.25" customHeight="1" x14ac:dyDescent="0.2">
      <c r="A195" s="43" t="s">
        <v>685</v>
      </c>
      <c r="B195" s="46" t="s">
        <v>39</v>
      </c>
      <c r="C195" s="44" t="s">
        <v>710</v>
      </c>
      <c r="D195" s="47">
        <v>7823</v>
      </c>
      <c r="E195" s="46" t="s">
        <v>700</v>
      </c>
      <c r="F195" s="35">
        <v>10001</v>
      </c>
      <c r="G195" s="40">
        <v>10001</v>
      </c>
      <c r="H195" s="35">
        <v>0</v>
      </c>
      <c r="I195" s="35">
        <f t="shared" si="6"/>
        <v>10001</v>
      </c>
      <c r="J195" s="36">
        <f t="shared" si="7"/>
        <v>0</v>
      </c>
      <c r="K195" s="48" t="s">
        <v>83</v>
      </c>
      <c r="L195" s="48" t="s">
        <v>83</v>
      </c>
      <c r="M195" s="38">
        <v>41685</v>
      </c>
      <c r="N195" s="48"/>
      <c r="O195" s="35">
        <v>10001</v>
      </c>
      <c r="P195" s="35"/>
      <c r="Q195" s="35"/>
      <c r="R195" s="35"/>
      <c r="S195" s="41"/>
    </row>
    <row r="196" spans="1:19" s="15" customFormat="1" ht="26.25" customHeight="1" x14ac:dyDescent="0.2">
      <c r="A196" s="43" t="s">
        <v>547</v>
      </c>
      <c r="B196" s="46" t="s">
        <v>41</v>
      </c>
      <c r="C196" s="44" t="s">
        <v>563</v>
      </c>
      <c r="D196" s="47">
        <v>7424</v>
      </c>
      <c r="E196" s="46" t="s">
        <v>572</v>
      </c>
      <c r="F196" s="35">
        <v>7649</v>
      </c>
      <c r="G196" s="40">
        <v>7649</v>
      </c>
      <c r="H196" s="35">
        <v>0</v>
      </c>
      <c r="I196" s="35">
        <f t="shared" si="6"/>
        <v>7649</v>
      </c>
      <c r="J196" s="36">
        <f t="shared" si="7"/>
        <v>0</v>
      </c>
      <c r="K196" s="48" t="s">
        <v>83</v>
      </c>
      <c r="L196" s="48" t="s">
        <v>85</v>
      </c>
      <c r="M196" s="38">
        <v>41820</v>
      </c>
      <c r="N196" s="48"/>
      <c r="O196" s="35">
        <v>7649</v>
      </c>
      <c r="P196" s="35"/>
      <c r="Q196" s="35"/>
      <c r="R196" s="35"/>
      <c r="S196" s="41"/>
    </row>
    <row r="197" spans="1:19" s="15" customFormat="1" ht="26.25" customHeight="1" x14ac:dyDescent="0.2">
      <c r="A197" s="43" t="s">
        <v>1003</v>
      </c>
      <c r="B197" s="46" t="s">
        <v>41</v>
      </c>
      <c r="C197" s="44" t="s">
        <v>1008</v>
      </c>
      <c r="D197" s="47">
        <v>8373</v>
      </c>
      <c r="E197" s="46" t="s">
        <v>1013</v>
      </c>
      <c r="F197" s="35">
        <v>5805</v>
      </c>
      <c r="G197" s="35">
        <v>5805</v>
      </c>
      <c r="H197" s="35">
        <v>0</v>
      </c>
      <c r="I197" s="35">
        <f t="shared" si="6"/>
        <v>5805</v>
      </c>
      <c r="J197" s="36">
        <f t="shared" si="7"/>
        <v>0</v>
      </c>
      <c r="K197" s="48" t="s">
        <v>83</v>
      </c>
      <c r="L197" s="48" t="s">
        <v>85</v>
      </c>
      <c r="M197" s="38">
        <v>41820</v>
      </c>
      <c r="N197" s="48"/>
      <c r="O197" s="35">
        <v>5805</v>
      </c>
      <c r="P197" s="35"/>
      <c r="Q197" s="35"/>
      <c r="R197" s="35"/>
      <c r="S197" s="41"/>
    </row>
    <row r="198" spans="1:19" s="15" customFormat="1" ht="26.25" customHeight="1" x14ac:dyDescent="0.2">
      <c r="A198" s="43" t="s">
        <v>844</v>
      </c>
      <c r="B198" s="46" t="s">
        <v>940</v>
      </c>
      <c r="C198" s="44" t="s">
        <v>852</v>
      </c>
      <c r="D198" s="47">
        <v>8135</v>
      </c>
      <c r="E198" s="46" t="s">
        <v>862</v>
      </c>
      <c r="F198" s="35">
        <f>22340+4500+5000</f>
        <v>31840</v>
      </c>
      <c r="G198" s="35">
        <f>22340+4500+5000</f>
        <v>31840</v>
      </c>
      <c r="H198" s="35">
        <v>0</v>
      </c>
      <c r="I198" s="35">
        <f t="shared" si="6"/>
        <v>31840</v>
      </c>
      <c r="J198" s="36">
        <f t="shared" si="7"/>
        <v>0</v>
      </c>
      <c r="K198" s="48" t="s">
        <v>83</v>
      </c>
      <c r="L198" s="48" t="s">
        <v>83</v>
      </c>
      <c r="M198" s="38">
        <v>42094</v>
      </c>
      <c r="N198" s="48" t="s">
        <v>84</v>
      </c>
      <c r="O198" s="35">
        <v>22340</v>
      </c>
      <c r="P198" s="35">
        <v>4500</v>
      </c>
      <c r="Q198" s="35">
        <v>5000</v>
      </c>
      <c r="R198" s="35"/>
      <c r="S198" s="41"/>
    </row>
    <row r="199" spans="1:19" s="15" customFormat="1" ht="26.25" customHeight="1" x14ac:dyDescent="0.2">
      <c r="A199" s="43" t="s">
        <v>952</v>
      </c>
      <c r="B199" s="46" t="s">
        <v>940</v>
      </c>
      <c r="C199" s="44" t="s">
        <v>852</v>
      </c>
      <c r="D199" s="47">
        <v>8249</v>
      </c>
      <c r="E199" s="46" t="s">
        <v>965</v>
      </c>
      <c r="F199" s="35">
        <v>11890</v>
      </c>
      <c r="G199" s="35">
        <v>11890</v>
      </c>
      <c r="H199" s="35">
        <v>0</v>
      </c>
      <c r="I199" s="35">
        <f t="shared" si="6"/>
        <v>11890</v>
      </c>
      <c r="J199" s="36">
        <f t="shared" si="7"/>
        <v>0</v>
      </c>
      <c r="K199" s="48" t="s">
        <v>83</v>
      </c>
      <c r="L199" s="48" t="s">
        <v>83</v>
      </c>
      <c r="M199" s="38">
        <v>42094</v>
      </c>
      <c r="N199" s="48"/>
      <c r="O199" s="35">
        <v>11890</v>
      </c>
      <c r="P199" s="35"/>
      <c r="Q199" s="35"/>
      <c r="R199" s="35"/>
      <c r="S199" s="41"/>
    </row>
    <row r="200" spans="1:19" s="15" customFormat="1" ht="26.25" customHeight="1" x14ac:dyDescent="0.2">
      <c r="A200" s="43" t="s">
        <v>1083</v>
      </c>
      <c r="B200" s="46" t="s">
        <v>940</v>
      </c>
      <c r="C200" s="44" t="s">
        <v>1085</v>
      </c>
      <c r="D200" s="47">
        <v>8653</v>
      </c>
      <c r="E200" s="46" t="s">
        <v>1082</v>
      </c>
      <c r="F200" s="35">
        <f>15643+16200+16600</f>
        <v>48443</v>
      </c>
      <c r="G200" s="35">
        <f>15643+16200+16600</f>
        <v>48443</v>
      </c>
      <c r="H200" s="35">
        <v>0</v>
      </c>
      <c r="I200" s="35">
        <f t="shared" si="6"/>
        <v>48443</v>
      </c>
      <c r="J200" s="36">
        <f t="shared" si="7"/>
        <v>0</v>
      </c>
      <c r="K200" s="48" t="s">
        <v>83</v>
      </c>
      <c r="L200" s="48" t="s">
        <v>83</v>
      </c>
      <c r="M200" s="38">
        <v>42134</v>
      </c>
      <c r="N200" s="48" t="s">
        <v>84</v>
      </c>
      <c r="O200" s="35">
        <v>15643</v>
      </c>
      <c r="P200" s="35">
        <v>16200</v>
      </c>
      <c r="Q200" s="35">
        <v>16600</v>
      </c>
      <c r="R200" s="35"/>
      <c r="S200" s="41"/>
    </row>
    <row r="201" spans="1:19" s="15" customFormat="1" ht="18" customHeight="1" x14ac:dyDescent="0.2">
      <c r="A201" s="43" t="s">
        <v>1038</v>
      </c>
      <c r="B201" s="46" t="s">
        <v>46</v>
      </c>
      <c r="C201" s="44" t="s">
        <v>1044</v>
      </c>
      <c r="D201" s="47">
        <v>8330</v>
      </c>
      <c r="E201" s="46" t="s">
        <v>1048</v>
      </c>
      <c r="F201" s="35">
        <v>7500</v>
      </c>
      <c r="G201" s="35">
        <v>7500</v>
      </c>
      <c r="H201" s="35">
        <v>0</v>
      </c>
      <c r="I201" s="35">
        <f t="shared" si="6"/>
        <v>7500</v>
      </c>
      <c r="J201" s="36">
        <f t="shared" si="7"/>
        <v>0</v>
      </c>
      <c r="K201" s="48" t="s">
        <v>83</v>
      </c>
      <c r="L201" s="48" t="s">
        <v>83</v>
      </c>
      <c r="M201" s="38">
        <v>42124</v>
      </c>
      <c r="N201" s="48"/>
      <c r="O201" s="35">
        <v>7500</v>
      </c>
      <c r="P201" s="35"/>
      <c r="Q201" s="35"/>
      <c r="R201" s="35"/>
      <c r="S201" s="41"/>
    </row>
    <row r="202" spans="1:19" s="15" customFormat="1" ht="26.25" customHeight="1" x14ac:dyDescent="0.2">
      <c r="A202" s="43" t="s">
        <v>923</v>
      </c>
      <c r="B202" s="46" t="s">
        <v>124</v>
      </c>
      <c r="C202" s="44" t="s">
        <v>929</v>
      </c>
      <c r="D202" s="47">
        <v>8197</v>
      </c>
      <c r="E202" s="46" t="s">
        <v>932</v>
      </c>
      <c r="F202" s="35">
        <f>95000*3</f>
        <v>285000</v>
      </c>
      <c r="G202" s="35">
        <f>95000*3</f>
        <v>285000</v>
      </c>
      <c r="H202" s="35">
        <v>0</v>
      </c>
      <c r="I202" s="35">
        <f t="shared" si="6"/>
        <v>285000</v>
      </c>
      <c r="J202" s="36">
        <f t="shared" si="7"/>
        <v>0</v>
      </c>
      <c r="K202" s="48" t="s">
        <v>83</v>
      </c>
      <c r="L202" s="48" t="s">
        <v>85</v>
      </c>
      <c r="M202" s="38">
        <v>42124</v>
      </c>
      <c r="N202" s="48" t="s">
        <v>84</v>
      </c>
      <c r="O202" s="35">
        <v>95000</v>
      </c>
      <c r="P202" s="35">
        <v>95000</v>
      </c>
      <c r="Q202" s="35">
        <v>95000</v>
      </c>
      <c r="R202" s="35"/>
      <c r="S202" s="41"/>
    </row>
    <row r="203" spans="1:19" s="15" customFormat="1" ht="26.25" customHeight="1" x14ac:dyDescent="0.2">
      <c r="A203" s="43" t="s">
        <v>268</v>
      </c>
      <c r="B203" s="46" t="s">
        <v>37</v>
      </c>
      <c r="C203" s="44" t="s">
        <v>282</v>
      </c>
      <c r="D203" s="47" t="s">
        <v>291</v>
      </c>
      <c r="E203" s="46" t="s">
        <v>297</v>
      </c>
      <c r="F203" s="35">
        <v>11400</v>
      </c>
      <c r="G203" s="40">
        <v>45000</v>
      </c>
      <c r="H203" s="35">
        <v>11400</v>
      </c>
      <c r="I203" s="35">
        <f t="shared" si="6"/>
        <v>56400</v>
      </c>
      <c r="J203" s="36">
        <f t="shared" si="7"/>
        <v>0.25333333333333335</v>
      </c>
      <c r="K203" s="48" t="s">
        <v>83</v>
      </c>
      <c r="L203" s="48" t="s">
        <v>83</v>
      </c>
      <c r="M203" s="52">
        <v>41547</v>
      </c>
      <c r="N203" s="48" t="s">
        <v>86</v>
      </c>
      <c r="O203" s="35">
        <v>11400</v>
      </c>
      <c r="P203" s="35"/>
      <c r="Q203" s="35"/>
      <c r="R203" s="35"/>
      <c r="S203" s="41"/>
    </row>
    <row r="204" spans="1:19" s="15" customFormat="1" ht="26.25" customHeight="1" x14ac:dyDescent="0.2">
      <c r="A204" s="43" t="s">
        <v>829</v>
      </c>
      <c r="B204" s="46" t="s">
        <v>159</v>
      </c>
      <c r="C204" s="44" t="s">
        <v>831</v>
      </c>
      <c r="D204" s="47">
        <v>8099</v>
      </c>
      <c r="E204" s="46" t="s">
        <v>833</v>
      </c>
      <c r="F204" s="35">
        <v>82154</v>
      </c>
      <c r="G204" s="40">
        <v>82154</v>
      </c>
      <c r="H204" s="35">
        <v>0</v>
      </c>
      <c r="I204" s="35">
        <f t="shared" si="6"/>
        <v>82154</v>
      </c>
      <c r="J204" s="36">
        <f t="shared" si="7"/>
        <v>0</v>
      </c>
      <c r="K204" s="48" t="s">
        <v>83</v>
      </c>
      <c r="L204" s="48" t="s">
        <v>83</v>
      </c>
      <c r="M204" s="38">
        <v>41820</v>
      </c>
      <c r="N204" s="48"/>
      <c r="O204" s="35">
        <v>82154</v>
      </c>
      <c r="P204" s="35"/>
      <c r="Q204" s="35"/>
      <c r="R204" s="35"/>
      <c r="S204" s="41"/>
    </row>
    <row r="205" spans="1:19" s="15" customFormat="1" ht="26.25" customHeight="1" x14ac:dyDescent="0.2">
      <c r="A205" s="43" t="s">
        <v>842</v>
      </c>
      <c r="B205" s="46" t="s">
        <v>94</v>
      </c>
      <c r="C205" s="44" t="s">
        <v>850</v>
      </c>
      <c r="D205" s="47">
        <v>8131</v>
      </c>
      <c r="E205" s="46" t="s">
        <v>860</v>
      </c>
      <c r="F205" s="35">
        <f>8267*3</f>
        <v>24801</v>
      </c>
      <c r="G205" s="40">
        <f>8267*3</f>
        <v>24801</v>
      </c>
      <c r="H205" s="35">
        <v>0</v>
      </c>
      <c r="I205" s="35">
        <f t="shared" si="6"/>
        <v>24801</v>
      </c>
      <c r="J205" s="36">
        <f t="shared" si="7"/>
        <v>0</v>
      </c>
      <c r="K205" s="48" t="s">
        <v>83</v>
      </c>
      <c r="L205" s="48" t="s">
        <v>83</v>
      </c>
      <c r="M205" s="38">
        <v>42094</v>
      </c>
      <c r="N205" s="48" t="s">
        <v>84</v>
      </c>
      <c r="O205" s="35">
        <v>8267</v>
      </c>
      <c r="P205" s="35">
        <v>8267</v>
      </c>
      <c r="Q205" s="35">
        <v>8267</v>
      </c>
      <c r="R205" s="35"/>
      <c r="S205" s="41"/>
    </row>
    <row r="206" spans="1:19" s="15" customFormat="1" ht="26.25" customHeight="1" x14ac:dyDescent="0.2">
      <c r="A206" s="43" t="s">
        <v>313</v>
      </c>
      <c r="B206" s="46" t="s">
        <v>316</v>
      </c>
      <c r="C206" s="44" t="s">
        <v>321</v>
      </c>
      <c r="D206" s="34">
        <v>7087</v>
      </c>
      <c r="E206" s="46" t="s">
        <v>328</v>
      </c>
      <c r="F206" s="35">
        <f>94900*2</f>
        <v>189800</v>
      </c>
      <c r="G206" s="35">
        <f>94900*2</f>
        <v>189800</v>
      </c>
      <c r="H206" s="35">
        <v>0</v>
      </c>
      <c r="I206" s="35">
        <f t="shared" si="6"/>
        <v>189800</v>
      </c>
      <c r="J206" s="36">
        <f t="shared" si="7"/>
        <v>0</v>
      </c>
      <c r="K206" s="48" t="s">
        <v>83</v>
      </c>
      <c r="L206" s="48" t="s">
        <v>83</v>
      </c>
      <c r="M206" s="38">
        <v>41820</v>
      </c>
      <c r="N206" s="48" t="s">
        <v>84</v>
      </c>
      <c r="O206" s="35">
        <v>94900</v>
      </c>
      <c r="P206" s="35">
        <v>94900</v>
      </c>
      <c r="Q206" s="35"/>
      <c r="R206" s="35"/>
      <c r="S206" s="41"/>
    </row>
    <row r="207" spans="1:19" s="15" customFormat="1" ht="26.25" customHeight="1" x14ac:dyDescent="0.2">
      <c r="A207" s="43" t="s">
        <v>171</v>
      </c>
      <c r="B207" s="46" t="s">
        <v>39</v>
      </c>
      <c r="C207" s="44" t="s">
        <v>178</v>
      </c>
      <c r="D207" s="34">
        <v>6927</v>
      </c>
      <c r="E207" s="46" t="s">
        <v>183</v>
      </c>
      <c r="F207" s="35">
        <v>9541</v>
      </c>
      <c r="G207" s="40">
        <v>9541</v>
      </c>
      <c r="H207" s="35">
        <v>0</v>
      </c>
      <c r="I207" s="35">
        <f t="shared" si="6"/>
        <v>9541</v>
      </c>
      <c r="J207" s="36">
        <f t="shared" si="7"/>
        <v>0</v>
      </c>
      <c r="K207" s="48" t="s">
        <v>83</v>
      </c>
      <c r="L207" s="48" t="s">
        <v>83</v>
      </c>
      <c r="M207" s="38">
        <v>41489</v>
      </c>
      <c r="N207" s="48"/>
      <c r="O207" s="41">
        <v>9541</v>
      </c>
      <c r="P207" s="41"/>
      <c r="Q207" s="41"/>
      <c r="R207" s="41"/>
      <c r="S207" s="41"/>
    </row>
    <row r="208" spans="1:19" s="15" customFormat="1" ht="38.25" customHeight="1" x14ac:dyDescent="0.2">
      <c r="A208" s="43" t="s">
        <v>352</v>
      </c>
      <c r="B208" s="46" t="s">
        <v>47</v>
      </c>
      <c r="C208" s="44" t="s">
        <v>376</v>
      </c>
      <c r="D208" s="47">
        <v>7262</v>
      </c>
      <c r="E208" s="46" t="s">
        <v>391</v>
      </c>
      <c r="F208" s="35">
        <v>20000</v>
      </c>
      <c r="G208" s="40">
        <v>20000</v>
      </c>
      <c r="H208" s="35">
        <v>0</v>
      </c>
      <c r="I208" s="35">
        <f t="shared" si="6"/>
        <v>20000</v>
      </c>
      <c r="J208" s="36">
        <f t="shared" si="7"/>
        <v>0</v>
      </c>
      <c r="K208" s="48" t="s">
        <v>83</v>
      </c>
      <c r="L208" s="48" t="s">
        <v>83</v>
      </c>
      <c r="M208" s="38">
        <v>41820</v>
      </c>
      <c r="N208" s="48"/>
      <c r="O208" s="35">
        <v>20000</v>
      </c>
      <c r="P208" s="35"/>
      <c r="Q208" s="35"/>
      <c r="R208" s="35"/>
      <c r="S208" s="41"/>
    </row>
    <row r="209" spans="1:19" s="15" customFormat="1" ht="38.25" customHeight="1" x14ac:dyDescent="0.2">
      <c r="A209" s="43" t="s">
        <v>353</v>
      </c>
      <c r="B209" s="46" t="s">
        <v>47</v>
      </c>
      <c r="C209" s="44" t="s">
        <v>376</v>
      </c>
      <c r="D209" s="47">
        <v>7261</v>
      </c>
      <c r="E209" s="46" t="s">
        <v>392</v>
      </c>
      <c r="F209" s="35">
        <v>15000</v>
      </c>
      <c r="G209" s="40">
        <v>15000</v>
      </c>
      <c r="H209" s="35">
        <v>0</v>
      </c>
      <c r="I209" s="35">
        <f t="shared" si="6"/>
        <v>15000</v>
      </c>
      <c r="J209" s="36">
        <f t="shared" si="7"/>
        <v>0</v>
      </c>
      <c r="K209" s="48" t="s">
        <v>83</v>
      </c>
      <c r="L209" s="48" t="s">
        <v>83</v>
      </c>
      <c r="M209" s="38">
        <v>41820</v>
      </c>
      <c r="N209" s="48"/>
      <c r="O209" s="35">
        <v>15000</v>
      </c>
      <c r="P209" s="35"/>
      <c r="Q209" s="35"/>
      <c r="R209" s="35"/>
      <c r="S209" s="41"/>
    </row>
    <row r="210" spans="1:19" s="15" customFormat="1" ht="26.25" customHeight="1" x14ac:dyDescent="0.2">
      <c r="A210" s="43" t="s">
        <v>354</v>
      </c>
      <c r="B210" s="46" t="s">
        <v>47</v>
      </c>
      <c r="C210" s="44" t="s">
        <v>376</v>
      </c>
      <c r="D210" s="47">
        <v>7260</v>
      </c>
      <c r="E210" s="46" t="s">
        <v>337</v>
      </c>
      <c r="F210" s="35">
        <v>20000</v>
      </c>
      <c r="G210" s="40">
        <v>20000</v>
      </c>
      <c r="H210" s="35">
        <v>0</v>
      </c>
      <c r="I210" s="35">
        <f t="shared" si="6"/>
        <v>20000</v>
      </c>
      <c r="J210" s="36">
        <f t="shared" si="7"/>
        <v>0</v>
      </c>
      <c r="K210" s="48" t="s">
        <v>83</v>
      </c>
      <c r="L210" s="48" t="s">
        <v>83</v>
      </c>
      <c r="M210" s="38">
        <v>41820</v>
      </c>
      <c r="N210" s="48"/>
      <c r="O210" s="35">
        <v>20000</v>
      </c>
      <c r="P210" s="35"/>
      <c r="Q210" s="35"/>
      <c r="R210" s="35"/>
      <c r="S210" s="41"/>
    </row>
    <row r="211" spans="1:19" s="15" customFormat="1" ht="26.25" customHeight="1" x14ac:dyDescent="0.2">
      <c r="A211" s="43" t="s">
        <v>1059</v>
      </c>
      <c r="B211" s="46" t="s">
        <v>124</v>
      </c>
      <c r="C211" s="44" t="s">
        <v>1067</v>
      </c>
      <c r="D211" s="47">
        <v>8409</v>
      </c>
      <c r="E211" s="46" t="s">
        <v>1075</v>
      </c>
      <c r="F211" s="35">
        <f>99000*3</f>
        <v>297000</v>
      </c>
      <c r="G211" s="35">
        <f>99000*3</f>
        <v>297000</v>
      </c>
      <c r="H211" s="35">
        <v>0</v>
      </c>
      <c r="I211" s="35">
        <f t="shared" si="6"/>
        <v>297000</v>
      </c>
      <c r="J211" s="36">
        <f t="shared" si="7"/>
        <v>0</v>
      </c>
      <c r="K211" s="48" t="s">
        <v>83</v>
      </c>
      <c r="L211" s="48" t="s">
        <v>83</v>
      </c>
      <c r="M211" s="38">
        <v>42185</v>
      </c>
      <c r="N211" s="48" t="s">
        <v>84</v>
      </c>
      <c r="O211" s="35"/>
      <c r="P211" s="35">
        <v>99000</v>
      </c>
      <c r="Q211" s="35">
        <v>99000</v>
      </c>
      <c r="R211" s="35">
        <v>99000</v>
      </c>
      <c r="S211" s="35"/>
    </row>
    <row r="212" spans="1:19" s="15" customFormat="1" ht="26.25" customHeight="1" x14ac:dyDescent="0.2">
      <c r="A212" s="43" t="s">
        <v>333</v>
      </c>
      <c r="B212" s="46" t="s">
        <v>47</v>
      </c>
      <c r="C212" s="44" t="s">
        <v>340</v>
      </c>
      <c r="D212" s="47">
        <v>7263</v>
      </c>
      <c r="E212" s="46" t="s">
        <v>337</v>
      </c>
      <c r="F212" s="35">
        <v>50000</v>
      </c>
      <c r="G212" s="40">
        <v>50000</v>
      </c>
      <c r="H212" s="35">
        <v>0</v>
      </c>
      <c r="I212" s="35">
        <f t="shared" si="6"/>
        <v>50000</v>
      </c>
      <c r="J212" s="36">
        <f t="shared" si="7"/>
        <v>0</v>
      </c>
      <c r="K212" s="48" t="s">
        <v>83</v>
      </c>
      <c r="L212" s="48" t="s">
        <v>83</v>
      </c>
      <c r="M212" s="38">
        <v>41820</v>
      </c>
      <c r="N212" s="48"/>
      <c r="O212" s="35">
        <v>50000</v>
      </c>
      <c r="P212" s="35"/>
      <c r="Q212" s="35"/>
      <c r="R212" s="35"/>
      <c r="S212" s="41"/>
    </row>
    <row r="213" spans="1:19" s="15" customFormat="1" ht="26.25" customHeight="1" x14ac:dyDescent="0.2">
      <c r="A213" s="43" t="s">
        <v>244</v>
      </c>
      <c r="B213" s="46" t="s">
        <v>94</v>
      </c>
      <c r="C213" s="44" t="s">
        <v>252</v>
      </c>
      <c r="D213" s="34">
        <v>6761</v>
      </c>
      <c r="E213" s="46" t="s">
        <v>259</v>
      </c>
      <c r="F213" s="35">
        <f>31700*3</f>
        <v>95100</v>
      </c>
      <c r="G213" s="40">
        <f>31700*3</f>
        <v>95100</v>
      </c>
      <c r="H213" s="35">
        <v>0</v>
      </c>
      <c r="I213" s="35">
        <f t="shared" si="6"/>
        <v>95100</v>
      </c>
      <c r="J213" s="36">
        <f t="shared" si="7"/>
        <v>0</v>
      </c>
      <c r="K213" s="48" t="s">
        <v>83</v>
      </c>
      <c r="L213" s="48" t="s">
        <v>85</v>
      </c>
      <c r="M213" s="38">
        <v>41820</v>
      </c>
      <c r="N213" s="48" t="s">
        <v>84</v>
      </c>
      <c r="O213" s="35">
        <v>31700</v>
      </c>
      <c r="P213" s="35">
        <v>31700</v>
      </c>
      <c r="Q213" s="35">
        <v>31700</v>
      </c>
      <c r="R213" s="35"/>
      <c r="S213" s="41"/>
    </row>
    <row r="214" spans="1:19" s="15" customFormat="1" ht="26.25" customHeight="1" x14ac:dyDescent="0.2">
      <c r="A214" s="43" t="s">
        <v>550</v>
      </c>
      <c r="B214" s="46" t="s">
        <v>41</v>
      </c>
      <c r="C214" s="44" t="s">
        <v>564</v>
      </c>
      <c r="D214" s="47">
        <v>7436</v>
      </c>
      <c r="E214" s="46" t="s">
        <v>575</v>
      </c>
      <c r="F214" s="35">
        <v>32992</v>
      </c>
      <c r="G214" s="40">
        <v>32992</v>
      </c>
      <c r="H214" s="35">
        <v>0</v>
      </c>
      <c r="I214" s="35">
        <f t="shared" si="6"/>
        <v>32992</v>
      </c>
      <c r="J214" s="36">
        <f t="shared" si="7"/>
        <v>0</v>
      </c>
      <c r="K214" s="48" t="s">
        <v>83</v>
      </c>
      <c r="L214" s="48" t="s">
        <v>85</v>
      </c>
      <c r="M214" s="38">
        <v>41820</v>
      </c>
      <c r="N214" s="48"/>
      <c r="O214" s="35">
        <v>32992</v>
      </c>
      <c r="P214" s="35"/>
      <c r="Q214" s="35"/>
      <c r="R214" s="35"/>
      <c r="S214" s="41"/>
    </row>
    <row r="215" spans="1:19" s="15" customFormat="1" ht="26.25" customHeight="1" x14ac:dyDescent="0.2">
      <c r="A215" s="43" t="s">
        <v>93</v>
      </c>
      <c r="B215" s="46" t="s">
        <v>41</v>
      </c>
      <c r="C215" s="44" t="s">
        <v>101</v>
      </c>
      <c r="D215" s="47">
        <v>6800</v>
      </c>
      <c r="E215" s="46" t="s">
        <v>114</v>
      </c>
      <c r="F215" s="49">
        <f>12500*3</f>
        <v>37500</v>
      </c>
      <c r="G215" s="50">
        <f>12500*3</f>
        <v>37500</v>
      </c>
      <c r="H215" s="49">
        <v>0</v>
      </c>
      <c r="I215" s="49">
        <f t="shared" si="6"/>
        <v>37500</v>
      </c>
      <c r="J215" s="51">
        <f t="shared" si="7"/>
        <v>0</v>
      </c>
      <c r="K215" s="48" t="s">
        <v>83</v>
      </c>
      <c r="L215" s="48" t="s">
        <v>83</v>
      </c>
      <c r="M215" s="52">
        <v>41843</v>
      </c>
      <c r="N215" s="48" t="s">
        <v>84</v>
      </c>
      <c r="O215" s="41">
        <v>12500</v>
      </c>
      <c r="P215" s="41">
        <v>12500</v>
      </c>
      <c r="Q215" s="41">
        <v>12500</v>
      </c>
      <c r="R215" s="41"/>
      <c r="S215" s="41"/>
    </row>
    <row r="216" spans="1:19" s="15" customFormat="1" ht="26.25" customHeight="1" x14ac:dyDescent="0.2">
      <c r="A216" s="43" t="s">
        <v>605</v>
      </c>
      <c r="B216" s="46" t="s">
        <v>315</v>
      </c>
      <c r="C216" s="44" t="s">
        <v>611</v>
      </c>
      <c r="D216" s="47">
        <v>7449</v>
      </c>
      <c r="E216" s="46" t="s">
        <v>603</v>
      </c>
      <c r="F216" s="35">
        <v>99000</v>
      </c>
      <c r="G216" s="40">
        <v>99000</v>
      </c>
      <c r="H216" s="35">
        <v>0</v>
      </c>
      <c r="I216" s="35">
        <f t="shared" si="6"/>
        <v>99000</v>
      </c>
      <c r="J216" s="36">
        <f t="shared" si="7"/>
        <v>0</v>
      </c>
      <c r="K216" s="48" t="s">
        <v>83</v>
      </c>
      <c r="L216" s="48" t="s">
        <v>83</v>
      </c>
      <c r="M216" s="38">
        <v>42291</v>
      </c>
      <c r="N216" s="48"/>
      <c r="O216" s="35">
        <v>99000</v>
      </c>
      <c r="P216" s="35"/>
      <c r="Q216" s="35"/>
      <c r="R216" s="35"/>
      <c r="S216" s="41"/>
    </row>
    <row r="217" spans="1:19" s="15" customFormat="1" ht="26.25" customHeight="1" x14ac:dyDescent="0.2">
      <c r="A217" s="43" t="s">
        <v>624</v>
      </c>
      <c r="B217" s="46" t="s">
        <v>125</v>
      </c>
      <c r="C217" s="44" t="s">
        <v>630</v>
      </c>
      <c r="D217" s="47">
        <v>7541</v>
      </c>
      <c r="E217" s="46" t="s">
        <v>633</v>
      </c>
      <c r="F217" s="35">
        <v>7060</v>
      </c>
      <c r="G217" s="40">
        <v>7060</v>
      </c>
      <c r="H217" s="35">
        <v>0</v>
      </c>
      <c r="I217" s="35">
        <f t="shared" si="6"/>
        <v>7060</v>
      </c>
      <c r="J217" s="36">
        <f t="shared" si="7"/>
        <v>0</v>
      </c>
      <c r="K217" s="48" t="s">
        <v>83</v>
      </c>
      <c r="L217" s="48" t="s">
        <v>83</v>
      </c>
      <c r="M217" s="52">
        <v>41670</v>
      </c>
      <c r="N217" s="48"/>
      <c r="O217" s="35">
        <v>7060</v>
      </c>
      <c r="P217" s="35"/>
      <c r="Q217" s="35"/>
      <c r="R217" s="35"/>
      <c r="S217" s="41"/>
    </row>
    <row r="218" spans="1:19" s="15" customFormat="1" ht="26.25" customHeight="1" x14ac:dyDescent="0.2">
      <c r="A218" s="43" t="s">
        <v>197</v>
      </c>
      <c r="B218" s="46" t="s">
        <v>94</v>
      </c>
      <c r="C218" s="44" t="s">
        <v>211</v>
      </c>
      <c r="D218" s="47">
        <v>6715</v>
      </c>
      <c r="E218" s="46" t="s">
        <v>225</v>
      </c>
      <c r="F218" s="35">
        <v>64000</v>
      </c>
      <c r="G218" s="40">
        <v>64000</v>
      </c>
      <c r="H218" s="35">
        <v>0</v>
      </c>
      <c r="I218" s="35">
        <f t="shared" si="6"/>
        <v>64000</v>
      </c>
      <c r="J218" s="36">
        <f t="shared" si="7"/>
        <v>0</v>
      </c>
      <c r="K218" s="48" t="s">
        <v>83</v>
      </c>
      <c r="L218" s="48" t="s">
        <v>83</v>
      </c>
      <c r="M218" s="38">
        <v>41820</v>
      </c>
      <c r="N218" s="37"/>
      <c r="O218" s="35">
        <v>64000</v>
      </c>
      <c r="P218" s="35"/>
      <c r="Q218" s="35"/>
      <c r="R218" s="35"/>
      <c r="S218" s="41"/>
    </row>
    <row r="219" spans="1:19" s="15" customFormat="1" ht="26.25" customHeight="1" x14ac:dyDescent="0.2">
      <c r="A219" s="43" t="s">
        <v>804</v>
      </c>
      <c r="B219" s="46" t="s">
        <v>46</v>
      </c>
      <c r="C219" s="44" t="s">
        <v>807</v>
      </c>
      <c r="D219" s="47">
        <v>7966</v>
      </c>
      <c r="E219" s="46" t="s">
        <v>810</v>
      </c>
      <c r="F219" s="35">
        <f>16220*3</f>
        <v>48660</v>
      </c>
      <c r="G219" s="40">
        <f>16220*3</f>
        <v>48660</v>
      </c>
      <c r="H219" s="35">
        <v>0</v>
      </c>
      <c r="I219" s="35">
        <f t="shared" si="6"/>
        <v>48660</v>
      </c>
      <c r="J219" s="36">
        <f t="shared" si="7"/>
        <v>0</v>
      </c>
      <c r="K219" s="48" t="s">
        <v>83</v>
      </c>
      <c r="L219" s="48" t="s">
        <v>85</v>
      </c>
      <c r="M219" s="38">
        <v>41820</v>
      </c>
      <c r="N219" s="48" t="s">
        <v>84</v>
      </c>
      <c r="O219" s="35">
        <v>16220</v>
      </c>
      <c r="P219" s="35">
        <v>16220</v>
      </c>
      <c r="Q219" s="35">
        <v>16220</v>
      </c>
      <c r="R219" s="35"/>
      <c r="S219" s="41"/>
    </row>
    <row r="220" spans="1:19" s="15" customFormat="1" ht="26.25" customHeight="1" x14ac:dyDescent="0.2">
      <c r="A220" s="43" t="s">
        <v>32</v>
      </c>
      <c r="B220" s="46" t="s">
        <v>39</v>
      </c>
      <c r="C220" s="44" t="s">
        <v>62</v>
      </c>
      <c r="D220" s="47">
        <v>6545</v>
      </c>
      <c r="E220" s="46" t="s">
        <v>80</v>
      </c>
      <c r="F220" s="35">
        <f>12919*3</f>
        <v>38757</v>
      </c>
      <c r="G220" s="40">
        <f>12919*3</f>
        <v>38757</v>
      </c>
      <c r="H220" s="35">
        <v>0</v>
      </c>
      <c r="I220" s="49">
        <f t="shared" si="6"/>
        <v>38757</v>
      </c>
      <c r="J220" s="51">
        <f t="shared" si="7"/>
        <v>0</v>
      </c>
      <c r="K220" s="48" t="s">
        <v>83</v>
      </c>
      <c r="L220" s="48" t="s">
        <v>85</v>
      </c>
      <c r="M220" s="38">
        <v>41820</v>
      </c>
      <c r="N220" s="48" t="s">
        <v>84</v>
      </c>
      <c r="O220" s="41">
        <v>12919</v>
      </c>
      <c r="P220" s="41">
        <v>12919</v>
      </c>
      <c r="Q220" s="41">
        <v>12919</v>
      </c>
      <c r="R220" s="41"/>
      <c r="S220" s="41"/>
    </row>
    <row r="221" spans="1:19" s="15" customFormat="1" ht="26.25" customHeight="1" x14ac:dyDescent="0.2">
      <c r="A221" s="43" t="s">
        <v>815</v>
      </c>
      <c r="B221" s="46" t="s">
        <v>816</v>
      </c>
      <c r="C221" s="44" t="s">
        <v>821</v>
      </c>
      <c r="D221" s="47">
        <v>8057</v>
      </c>
      <c r="E221" s="46" t="s">
        <v>826</v>
      </c>
      <c r="F221" s="35">
        <v>11900</v>
      </c>
      <c r="G221" s="40">
        <v>11900</v>
      </c>
      <c r="H221" s="35">
        <v>0</v>
      </c>
      <c r="I221" s="35">
        <f t="shared" si="6"/>
        <v>11900</v>
      </c>
      <c r="J221" s="36">
        <f t="shared" si="7"/>
        <v>0</v>
      </c>
      <c r="K221" s="48" t="s">
        <v>83</v>
      </c>
      <c r="L221" s="48" t="s">
        <v>83</v>
      </c>
      <c r="M221" s="38">
        <v>41727</v>
      </c>
      <c r="N221" s="48"/>
      <c r="O221" s="35">
        <v>11900</v>
      </c>
      <c r="P221" s="35"/>
      <c r="Q221" s="35"/>
      <c r="R221" s="35"/>
      <c r="S221" s="41"/>
    </row>
    <row r="222" spans="1:19" s="15" customFormat="1" ht="26.25" customHeight="1" x14ac:dyDescent="0.2">
      <c r="A222" s="43" t="s">
        <v>351</v>
      </c>
      <c r="B222" s="46" t="s">
        <v>47</v>
      </c>
      <c r="C222" s="44" t="s">
        <v>375</v>
      </c>
      <c r="D222" s="47">
        <v>7264</v>
      </c>
      <c r="E222" s="46" t="s">
        <v>338</v>
      </c>
      <c r="F222" s="35">
        <v>20000</v>
      </c>
      <c r="G222" s="40">
        <v>20000</v>
      </c>
      <c r="H222" s="35">
        <v>0</v>
      </c>
      <c r="I222" s="35">
        <f t="shared" si="6"/>
        <v>20000</v>
      </c>
      <c r="J222" s="36">
        <f t="shared" si="7"/>
        <v>0</v>
      </c>
      <c r="K222" s="48" t="s">
        <v>83</v>
      </c>
      <c r="L222" s="48" t="s">
        <v>83</v>
      </c>
      <c r="M222" s="38">
        <v>41820</v>
      </c>
      <c r="N222" s="48"/>
      <c r="O222" s="35">
        <v>20000</v>
      </c>
      <c r="P222" s="35"/>
      <c r="Q222" s="35"/>
      <c r="R222" s="35"/>
      <c r="S222" s="41"/>
    </row>
    <row r="223" spans="1:19" s="15" customFormat="1" ht="26.25" customHeight="1" x14ac:dyDescent="0.2">
      <c r="A223" s="43" t="s">
        <v>755</v>
      </c>
      <c r="B223" s="46" t="s">
        <v>757</v>
      </c>
      <c r="C223" s="44" t="s">
        <v>760</v>
      </c>
      <c r="D223" s="47" t="s">
        <v>65</v>
      </c>
      <c r="E223" s="46" t="s">
        <v>768</v>
      </c>
      <c r="F223" s="35">
        <v>98000</v>
      </c>
      <c r="G223" s="40">
        <v>98000</v>
      </c>
      <c r="H223" s="35">
        <v>0</v>
      </c>
      <c r="I223" s="35">
        <f t="shared" si="6"/>
        <v>98000</v>
      </c>
      <c r="J223" s="36">
        <f t="shared" si="7"/>
        <v>0</v>
      </c>
      <c r="K223" s="48" t="s">
        <v>83</v>
      </c>
      <c r="L223" s="48" t="s">
        <v>85</v>
      </c>
      <c r="M223" s="38">
        <v>41820</v>
      </c>
      <c r="N223" s="48"/>
      <c r="O223" s="35">
        <v>98000</v>
      </c>
      <c r="P223" s="35"/>
      <c r="Q223" s="35"/>
      <c r="R223" s="35"/>
      <c r="S223" s="41"/>
    </row>
    <row r="224" spans="1:19" s="15" customFormat="1" ht="18" customHeight="1" x14ac:dyDescent="0.2">
      <c r="A224" s="43" t="s">
        <v>29</v>
      </c>
      <c r="B224" s="46" t="s">
        <v>44</v>
      </c>
      <c r="C224" s="44" t="s">
        <v>59</v>
      </c>
      <c r="D224" s="47">
        <v>6494</v>
      </c>
      <c r="E224" s="46" t="s">
        <v>77</v>
      </c>
      <c r="F224" s="35">
        <f>10000*3</f>
        <v>30000</v>
      </c>
      <c r="G224" s="40">
        <f>10000*3</f>
        <v>30000</v>
      </c>
      <c r="H224" s="35">
        <v>0</v>
      </c>
      <c r="I224" s="49">
        <f t="shared" si="6"/>
        <v>30000</v>
      </c>
      <c r="J224" s="51">
        <f t="shared" si="7"/>
        <v>0</v>
      </c>
      <c r="K224" s="48" t="s">
        <v>83</v>
      </c>
      <c r="L224" s="48" t="s">
        <v>85</v>
      </c>
      <c r="M224" s="38">
        <v>41820</v>
      </c>
      <c r="N224" s="48" t="s">
        <v>84</v>
      </c>
      <c r="O224" s="41">
        <v>10000</v>
      </c>
      <c r="P224" s="41">
        <v>10000</v>
      </c>
      <c r="Q224" s="41">
        <v>10000</v>
      </c>
      <c r="R224" s="41"/>
      <c r="S224" s="41"/>
    </row>
    <row r="225" spans="1:19" s="15" customFormat="1" ht="26.25" customHeight="1" x14ac:dyDescent="0.2">
      <c r="A225" s="43" t="s">
        <v>604</v>
      </c>
      <c r="B225" s="46" t="s">
        <v>38</v>
      </c>
      <c r="C225" s="44" t="s">
        <v>610</v>
      </c>
      <c r="D225" s="47">
        <v>7324</v>
      </c>
      <c r="E225" s="46" t="s">
        <v>598</v>
      </c>
      <c r="F225" s="35">
        <v>59520</v>
      </c>
      <c r="G225" s="40">
        <v>59520</v>
      </c>
      <c r="H225" s="35">
        <v>0</v>
      </c>
      <c r="I225" s="35">
        <f t="shared" si="6"/>
        <v>59520</v>
      </c>
      <c r="J225" s="36">
        <f t="shared" si="7"/>
        <v>0</v>
      </c>
      <c r="K225" s="48" t="s">
        <v>83</v>
      </c>
      <c r="L225" s="48" t="s">
        <v>83</v>
      </c>
      <c r="M225" s="38">
        <v>41574</v>
      </c>
      <c r="N225" s="48"/>
      <c r="O225" s="35">
        <v>59520</v>
      </c>
      <c r="P225" s="35"/>
      <c r="Q225" s="35"/>
      <c r="R225" s="35"/>
      <c r="S225" s="41"/>
    </row>
    <row r="226" spans="1:19" s="15" customFormat="1" ht="26.25" customHeight="1" x14ac:dyDescent="0.2">
      <c r="A226" s="43" t="s">
        <v>728</v>
      </c>
      <c r="B226" s="46" t="s">
        <v>40</v>
      </c>
      <c r="C226" s="44" t="s">
        <v>738</v>
      </c>
      <c r="D226" s="47">
        <v>7899</v>
      </c>
      <c r="E226" s="46" t="s">
        <v>748</v>
      </c>
      <c r="F226" s="35">
        <f>15000*3</f>
        <v>45000</v>
      </c>
      <c r="G226" s="35">
        <f>15000*3</f>
        <v>45000</v>
      </c>
      <c r="H226" s="35">
        <v>0</v>
      </c>
      <c r="I226" s="35">
        <f t="shared" si="6"/>
        <v>45000</v>
      </c>
      <c r="J226" s="36">
        <f t="shared" si="7"/>
        <v>0</v>
      </c>
      <c r="K226" s="48" t="s">
        <v>83</v>
      </c>
      <c r="L226" s="48" t="s">
        <v>85</v>
      </c>
      <c r="M226" s="38">
        <v>41820</v>
      </c>
      <c r="N226" s="48" t="s">
        <v>84</v>
      </c>
      <c r="O226" s="35">
        <v>15000</v>
      </c>
      <c r="P226" s="35">
        <v>15000</v>
      </c>
      <c r="Q226" s="35">
        <v>15000</v>
      </c>
      <c r="R226" s="35"/>
      <c r="S226" s="41"/>
    </row>
    <row r="227" spans="1:19" s="15" customFormat="1" ht="26.25" customHeight="1" x14ac:dyDescent="0.2">
      <c r="A227" s="43" t="s">
        <v>608</v>
      </c>
      <c r="B227" s="46" t="s">
        <v>159</v>
      </c>
      <c r="C227" s="44" t="s">
        <v>612</v>
      </c>
      <c r="D227" s="47">
        <v>7570</v>
      </c>
      <c r="E227" s="46" t="s">
        <v>601</v>
      </c>
      <c r="F227" s="35">
        <v>99000</v>
      </c>
      <c r="G227" s="40">
        <v>99000</v>
      </c>
      <c r="H227" s="35">
        <v>0</v>
      </c>
      <c r="I227" s="35">
        <f t="shared" si="6"/>
        <v>99000</v>
      </c>
      <c r="J227" s="36">
        <f t="shared" si="7"/>
        <v>0</v>
      </c>
      <c r="K227" s="48" t="s">
        <v>83</v>
      </c>
      <c r="L227" s="48" t="s">
        <v>83</v>
      </c>
      <c r="M227" s="38">
        <v>41985</v>
      </c>
      <c r="N227" s="48"/>
      <c r="O227" s="35">
        <v>99000</v>
      </c>
      <c r="P227" s="35"/>
      <c r="Q227" s="35"/>
      <c r="R227" s="35"/>
      <c r="S227" s="41"/>
    </row>
    <row r="228" spans="1:19" s="15" customFormat="1" ht="38.25" customHeight="1" x14ac:dyDescent="0.2">
      <c r="A228" s="43" t="s">
        <v>838</v>
      </c>
      <c r="B228" s="46" t="s">
        <v>557</v>
      </c>
      <c r="C228" s="44" t="s">
        <v>847</v>
      </c>
      <c r="D228" s="47">
        <v>8084</v>
      </c>
      <c r="E228" s="46" t="s">
        <v>857</v>
      </c>
      <c r="F228" s="35">
        <f>48750*3</f>
        <v>146250</v>
      </c>
      <c r="G228" s="40">
        <f>48750*3</f>
        <v>146250</v>
      </c>
      <c r="H228" s="35">
        <v>0</v>
      </c>
      <c r="I228" s="35">
        <f t="shared" si="6"/>
        <v>146250</v>
      </c>
      <c r="J228" s="36">
        <f t="shared" si="7"/>
        <v>0</v>
      </c>
      <c r="K228" s="48" t="s">
        <v>83</v>
      </c>
      <c r="L228" s="48" t="s">
        <v>83</v>
      </c>
      <c r="M228" s="38">
        <v>42094</v>
      </c>
      <c r="N228" s="48" t="s">
        <v>84</v>
      </c>
      <c r="O228" s="35">
        <v>48750</v>
      </c>
      <c r="P228" s="35">
        <v>48750</v>
      </c>
      <c r="Q228" s="35">
        <v>48750</v>
      </c>
      <c r="R228" s="35"/>
      <c r="S228" s="41"/>
    </row>
    <row r="229" spans="1:19" s="15" customFormat="1" ht="38.25" customHeight="1" x14ac:dyDescent="0.2">
      <c r="A229" s="43" t="s">
        <v>720</v>
      </c>
      <c r="B229" s="46" t="s">
        <v>39</v>
      </c>
      <c r="C229" s="44" t="s">
        <v>733</v>
      </c>
      <c r="D229" s="47">
        <v>7872</v>
      </c>
      <c r="E229" s="46" t="s">
        <v>742</v>
      </c>
      <c r="F229" s="35">
        <v>5365</v>
      </c>
      <c r="G229" s="40">
        <v>5365</v>
      </c>
      <c r="H229" s="35">
        <v>0</v>
      </c>
      <c r="I229" s="35">
        <f t="shared" si="6"/>
        <v>5365</v>
      </c>
      <c r="J229" s="36">
        <f t="shared" si="7"/>
        <v>0</v>
      </c>
      <c r="K229" s="48" t="s">
        <v>83</v>
      </c>
      <c r="L229" s="48" t="s">
        <v>83</v>
      </c>
      <c r="M229" s="38">
        <v>41698</v>
      </c>
      <c r="N229" s="48"/>
      <c r="O229" s="35">
        <v>5365</v>
      </c>
      <c r="P229" s="35"/>
      <c r="Q229" s="35"/>
      <c r="R229" s="35"/>
      <c r="S229" s="41"/>
    </row>
    <row r="230" spans="1:19" s="15" customFormat="1" ht="26.25" customHeight="1" x14ac:dyDescent="0.2">
      <c r="A230" s="43" t="s">
        <v>1060</v>
      </c>
      <c r="B230" s="46" t="s">
        <v>940</v>
      </c>
      <c r="C230" s="44" t="s">
        <v>1068</v>
      </c>
      <c r="D230" s="47">
        <v>8447</v>
      </c>
      <c r="E230" s="46" t="s">
        <v>1076</v>
      </c>
      <c r="F230" s="35">
        <v>55000</v>
      </c>
      <c r="G230" s="35">
        <v>55000</v>
      </c>
      <c r="H230" s="35">
        <v>0</v>
      </c>
      <c r="I230" s="35">
        <f t="shared" si="6"/>
        <v>55000</v>
      </c>
      <c r="J230" s="36">
        <f t="shared" si="7"/>
        <v>0</v>
      </c>
      <c r="K230" s="48" t="s">
        <v>83</v>
      </c>
      <c r="L230" s="48" t="s">
        <v>83</v>
      </c>
      <c r="M230" s="38">
        <v>42004</v>
      </c>
      <c r="N230" s="48"/>
      <c r="O230" s="35">
        <v>55000</v>
      </c>
      <c r="P230" s="35"/>
      <c r="Q230" s="35"/>
      <c r="R230" s="35"/>
      <c r="S230" s="41"/>
    </row>
    <row r="231" spans="1:19" s="15" customFormat="1" ht="38.25" customHeight="1" x14ac:dyDescent="0.2">
      <c r="A231" s="43" t="s">
        <v>673</v>
      </c>
      <c r="B231" s="46" t="s">
        <v>39</v>
      </c>
      <c r="C231" s="44" t="s">
        <v>702</v>
      </c>
      <c r="D231" s="47" t="s">
        <v>712</v>
      </c>
      <c r="E231" s="46" t="s">
        <v>689</v>
      </c>
      <c r="F231" s="35">
        <v>4500</v>
      </c>
      <c r="G231" s="40">
        <v>4800</v>
      </c>
      <c r="H231" s="35">
        <v>4500</v>
      </c>
      <c r="I231" s="35">
        <f t="shared" si="6"/>
        <v>9300</v>
      </c>
      <c r="J231" s="36">
        <f t="shared" si="7"/>
        <v>0.9375</v>
      </c>
      <c r="K231" s="48" t="s">
        <v>83</v>
      </c>
      <c r="L231" s="48" t="s">
        <v>83</v>
      </c>
      <c r="M231" s="38">
        <v>41820</v>
      </c>
      <c r="N231" s="48" t="s">
        <v>86</v>
      </c>
      <c r="O231" s="35">
        <v>4500</v>
      </c>
      <c r="P231" s="35"/>
      <c r="Q231" s="35"/>
      <c r="R231" s="35"/>
      <c r="S231" s="41"/>
    </row>
    <row r="232" spans="1:19" s="15" customFormat="1" ht="26.25" customHeight="1" x14ac:dyDescent="0.2">
      <c r="A232" s="43" t="s">
        <v>884</v>
      </c>
      <c r="B232" s="46" t="s">
        <v>40</v>
      </c>
      <c r="C232" s="44" t="s">
        <v>888</v>
      </c>
      <c r="D232" s="47" t="s">
        <v>890</v>
      </c>
      <c r="E232" s="56" t="s">
        <v>893</v>
      </c>
      <c r="F232" s="35">
        <v>35000</v>
      </c>
      <c r="G232" s="35">
        <v>36743</v>
      </c>
      <c r="H232" s="35">
        <f>36743+36743+35000</f>
        <v>108486</v>
      </c>
      <c r="I232" s="35">
        <f t="shared" si="6"/>
        <v>145229</v>
      </c>
      <c r="J232" s="36">
        <f t="shared" si="7"/>
        <v>2.9525623928367306</v>
      </c>
      <c r="K232" s="48" t="s">
        <v>83</v>
      </c>
      <c r="L232" s="48" t="s">
        <v>83</v>
      </c>
      <c r="M232" s="38">
        <v>42124</v>
      </c>
      <c r="N232" s="48" t="s">
        <v>86</v>
      </c>
      <c r="O232" s="35">
        <v>35000</v>
      </c>
      <c r="P232" s="35"/>
      <c r="Q232" s="35"/>
      <c r="R232" s="35"/>
      <c r="S232" s="41"/>
    </row>
    <row r="233" spans="1:19" s="15" customFormat="1" ht="26.25" customHeight="1" x14ac:dyDescent="0.2">
      <c r="A233" s="43" t="s">
        <v>1023</v>
      </c>
      <c r="B233" s="46" t="s">
        <v>46</v>
      </c>
      <c r="C233" s="44" t="s">
        <v>888</v>
      </c>
      <c r="D233" s="47" t="s">
        <v>65</v>
      </c>
      <c r="E233" s="46" t="s">
        <v>1037</v>
      </c>
      <c r="F233" s="35">
        <f>6665*3</f>
        <v>19995</v>
      </c>
      <c r="G233" s="35">
        <f>6665*3</f>
        <v>19995</v>
      </c>
      <c r="H233" s="35">
        <v>0</v>
      </c>
      <c r="I233" s="35">
        <f t="shared" si="6"/>
        <v>19995</v>
      </c>
      <c r="J233" s="36">
        <f t="shared" si="7"/>
        <v>0</v>
      </c>
      <c r="K233" s="48" t="s">
        <v>83</v>
      </c>
      <c r="L233" s="48" t="s">
        <v>83</v>
      </c>
      <c r="M233" s="38">
        <v>41729</v>
      </c>
      <c r="N233" s="48" t="s">
        <v>84</v>
      </c>
      <c r="O233" s="35">
        <v>6665</v>
      </c>
      <c r="P233" s="35">
        <v>6665</v>
      </c>
      <c r="Q233" s="35">
        <v>6665</v>
      </c>
      <c r="R233" s="35"/>
      <c r="S233" s="41"/>
    </row>
    <row r="234" spans="1:19" s="15" customFormat="1" ht="26.25" customHeight="1" x14ac:dyDescent="0.2">
      <c r="A234" s="43" t="s">
        <v>188</v>
      </c>
      <c r="B234" s="46" t="s">
        <v>159</v>
      </c>
      <c r="C234" s="44" t="s">
        <v>202</v>
      </c>
      <c r="D234" s="34">
        <v>6929</v>
      </c>
      <c r="E234" s="46" t="s">
        <v>217</v>
      </c>
      <c r="F234" s="35">
        <v>99000</v>
      </c>
      <c r="G234" s="40">
        <v>99000</v>
      </c>
      <c r="H234" s="35">
        <v>0</v>
      </c>
      <c r="I234" s="35">
        <f t="shared" si="6"/>
        <v>99000</v>
      </c>
      <c r="J234" s="36">
        <f t="shared" si="7"/>
        <v>0</v>
      </c>
      <c r="K234" s="48" t="s">
        <v>83</v>
      </c>
      <c r="L234" s="48" t="s">
        <v>83</v>
      </c>
      <c r="M234" s="52">
        <v>41820</v>
      </c>
      <c r="N234" s="48"/>
      <c r="O234" s="35">
        <v>99000</v>
      </c>
      <c r="P234" s="35"/>
      <c r="Q234" s="35"/>
      <c r="R234" s="35"/>
      <c r="S234" s="41"/>
    </row>
    <row r="235" spans="1:19" s="15" customFormat="1" ht="26.25" customHeight="1" x14ac:dyDescent="0.2">
      <c r="A235" s="43" t="s">
        <v>196</v>
      </c>
      <c r="B235" s="46" t="s">
        <v>159</v>
      </c>
      <c r="C235" s="44" t="s">
        <v>210</v>
      </c>
      <c r="D235" s="34">
        <v>6987</v>
      </c>
      <c r="E235" s="46" t="s">
        <v>224</v>
      </c>
      <c r="F235" s="35">
        <f>99535*3</f>
        <v>298605</v>
      </c>
      <c r="G235" s="35">
        <f>99535*3</f>
        <v>298605</v>
      </c>
      <c r="H235" s="35">
        <v>0</v>
      </c>
      <c r="I235" s="35">
        <f t="shared" si="6"/>
        <v>298605</v>
      </c>
      <c r="J235" s="36">
        <f t="shared" si="7"/>
        <v>0</v>
      </c>
      <c r="K235" s="48" t="s">
        <v>83</v>
      </c>
      <c r="L235" s="48" t="s">
        <v>83</v>
      </c>
      <c r="M235" s="38">
        <v>41820</v>
      </c>
      <c r="N235" s="48" t="s">
        <v>84</v>
      </c>
      <c r="O235" s="35">
        <v>99535</v>
      </c>
      <c r="P235" s="35">
        <v>99535</v>
      </c>
      <c r="Q235" s="35">
        <v>99535</v>
      </c>
      <c r="R235" s="35"/>
      <c r="S235" s="41"/>
    </row>
    <row r="236" spans="1:19" s="15" customFormat="1" ht="26.25" customHeight="1" x14ac:dyDescent="0.2">
      <c r="A236" s="43" t="s">
        <v>498</v>
      </c>
      <c r="B236" s="46" t="s">
        <v>159</v>
      </c>
      <c r="C236" s="44" t="s">
        <v>210</v>
      </c>
      <c r="D236" s="34">
        <v>7382</v>
      </c>
      <c r="E236" s="46" t="s">
        <v>511</v>
      </c>
      <c r="F236" s="35">
        <f>36332*3</f>
        <v>108996</v>
      </c>
      <c r="G236" s="40">
        <f>36332*3</f>
        <v>108996</v>
      </c>
      <c r="H236" s="35">
        <v>0</v>
      </c>
      <c r="I236" s="35">
        <f t="shared" si="6"/>
        <v>108996</v>
      </c>
      <c r="J236" s="36">
        <f t="shared" si="7"/>
        <v>0</v>
      </c>
      <c r="K236" s="48" t="s">
        <v>83</v>
      </c>
      <c r="L236" s="48" t="s">
        <v>83</v>
      </c>
      <c r="M236" s="38">
        <v>41979</v>
      </c>
      <c r="N236" s="48" t="s">
        <v>84</v>
      </c>
      <c r="O236" s="35">
        <v>36332</v>
      </c>
      <c r="P236" s="35">
        <v>36332</v>
      </c>
      <c r="Q236" s="35">
        <v>36332</v>
      </c>
      <c r="R236" s="35"/>
      <c r="S236" s="41"/>
    </row>
    <row r="237" spans="1:19" s="15" customFormat="1" ht="38.25" customHeight="1" x14ac:dyDescent="0.2">
      <c r="A237" s="43" t="s">
        <v>21</v>
      </c>
      <c r="B237" s="46" t="s">
        <v>39</v>
      </c>
      <c r="C237" s="44" t="s">
        <v>52</v>
      </c>
      <c r="D237" s="34">
        <v>6303</v>
      </c>
      <c r="E237" s="46" t="s">
        <v>70</v>
      </c>
      <c r="F237" s="35">
        <v>40933</v>
      </c>
      <c r="G237" s="40">
        <v>40933</v>
      </c>
      <c r="H237" s="35">
        <v>0</v>
      </c>
      <c r="I237" s="49">
        <f t="shared" si="6"/>
        <v>40933</v>
      </c>
      <c r="J237" s="51">
        <f t="shared" si="7"/>
        <v>0</v>
      </c>
      <c r="K237" s="48" t="s">
        <v>83</v>
      </c>
      <c r="L237" s="48" t="s">
        <v>85</v>
      </c>
      <c r="M237" s="38">
        <v>41639</v>
      </c>
      <c r="N237" s="37"/>
      <c r="O237" s="41">
        <v>40933</v>
      </c>
      <c r="P237" s="41"/>
      <c r="Q237" s="41"/>
      <c r="R237" s="41"/>
      <c r="S237" s="41"/>
    </row>
    <row r="238" spans="1:19" s="15" customFormat="1" ht="26.25" customHeight="1" x14ac:dyDescent="0.2">
      <c r="A238" s="43" t="s">
        <v>271</v>
      </c>
      <c r="B238" s="46" t="s">
        <v>94</v>
      </c>
      <c r="C238" s="44" t="s">
        <v>285</v>
      </c>
      <c r="D238" s="34">
        <v>7030</v>
      </c>
      <c r="E238" s="46" t="s">
        <v>300</v>
      </c>
      <c r="F238" s="35">
        <f>30000*3</f>
        <v>90000</v>
      </c>
      <c r="G238" s="40">
        <f>30000*3</f>
        <v>90000</v>
      </c>
      <c r="H238" s="35">
        <v>0</v>
      </c>
      <c r="I238" s="35">
        <f t="shared" si="6"/>
        <v>90000</v>
      </c>
      <c r="J238" s="36">
        <f t="shared" si="7"/>
        <v>0</v>
      </c>
      <c r="K238" s="48" t="s">
        <v>83</v>
      </c>
      <c r="L238" s="48" t="s">
        <v>83</v>
      </c>
      <c r="M238" s="52">
        <v>41820</v>
      </c>
      <c r="N238" s="48" t="s">
        <v>84</v>
      </c>
      <c r="O238" s="35">
        <v>30000</v>
      </c>
      <c r="P238" s="35">
        <v>30000</v>
      </c>
      <c r="Q238" s="35">
        <v>30000</v>
      </c>
      <c r="R238" s="35"/>
      <c r="S238" s="41"/>
    </row>
    <row r="239" spans="1:19" s="15" customFormat="1" ht="26.25" customHeight="1" x14ac:dyDescent="0.2">
      <c r="A239" s="43" t="s">
        <v>156</v>
      </c>
      <c r="B239" s="46" t="s">
        <v>46</v>
      </c>
      <c r="C239" s="44" t="s">
        <v>160</v>
      </c>
      <c r="D239" s="34">
        <v>6401</v>
      </c>
      <c r="E239" s="46" t="s">
        <v>163</v>
      </c>
      <c r="F239" s="35">
        <f>20000+20000+20000</f>
        <v>60000</v>
      </c>
      <c r="G239" s="40">
        <f>20000+20000+20000</f>
        <v>60000</v>
      </c>
      <c r="H239" s="35">
        <v>0</v>
      </c>
      <c r="I239" s="35">
        <f t="shared" si="6"/>
        <v>60000</v>
      </c>
      <c r="J239" s="36">
        <f t="shared" si="7"/>
        <v>0</v>
      </c>
      <c r="K239" s="48" t="s">
        <v>83</v>
      </c>
      <c r="L239" s="48" t="s">
        <v>83</v>
      </c>
      <c r="M239" s="38">
        <v>41820</v>
      </c>
      <c r="N239" s="48" t="s">
        <v>84</v>
      </c>
      <c r="O239" s="41">
        <v>20000</v>
      </c>
      <c r="P239" s="41">
        <v>20000</v>
      </c>
      <c r="Q239" s="41">
        <v>20000</v>
      </c>
      <c r="R239" s="41"/>
      <c r="S239" s="41"/>
    </row>
    <row r="240" spans="1:19" s="15" customFormat="1" ht="26.25" customHeight="1" x14ac:dyDescent="0.2">
      <c r="A240" s="43" t="s">
        <v>677</v>
      </c>
      <c r="B240" s="46" t="s">
        <v>39</v>
      </c>
      <c r="C240" s="44" t="s">
        <v>705</v>
      </c>
      <c r="D240" s="47" t="s">
        <v>714</v>
      </c>
      <c r="E240" s="46" t="s">
        <v>693</v>
      </c>
      <c r="F240" s="35">
        <v>20000</v>
      </c>
      <c r="G240" s="40">
        <v>24000</v>
      </c>
      <c r="H240" s="35">
        <f>24000+45000+20000</f>
        <v>89000</v>
      </c>
      <c r="I240" s="35">
        <f t="shared" si="6"/>
        <v>113000</v>
      </c>
      <c r="J240" s="36">
        <f t="shared" si="7"/>
        <v>3.7083333333333335</v>
      </c>
      <c r="K240" s="48" t="s">
        <v>83</v>
      </c>
      <c r="L240" s="48" t="s">
        <v>83</v>
      </c>
      <c r="M240" s="38">
        <v>41820</v>
      </c>
      <c r="N240" s="48" t="s">
        <v>86</v>
      </c>
      <c r="O240" s="35">
        <v>20000</v>
      </c>
      <c r="P240" s="35"/>
      <c r="Q240" s="35"/>
      <c r="R240" s="35"/>
      <c r="S240" s="41"/>
    </row>
    <row r="241" spans="1:19" s="15" customFormat="1" ht="26.25" customHeight="1" x14ac:dyDescent="0.2">
      <c r="A241" s="43" t="s">
        <v>350</v>
      </c>
      <c r="B241" s="46" t="s">
        <v>47</v>
      </c>
      <c r="C241" s="44" t="s">
        <v>374</v>
      </c>
      <c r="D241" s="47">
        <v>7265</v>
      </c>
      <c r="E241" s="46" t="s">
        <v>338</v>
      </c>
      <c r="F241" s="35">
        <v>20000</v>
      </c>
      <c r="G241" s="40">
        <v>20000</v>
      </c>
      <c r="H241" s="35">
        <v>0</v>
      </c>
      <c r="I241" s="35">
        <f t="shared" si="6"/>
        <v>20000</v>
      </c>
      <c r="J241" s="36">
        <f t="shared" si="7"/>
        <v>0</v>
      </c>
      <c r="K241" s="48" t="s">
        <v>83</v>
      </c>
      <c r="L241" s="48" t="s">
        <v>83</v>
      </c>
      <c r="M241" s="38">
        <v>41820</v>
      </c>
      <c r="N241" s="48"/>
      <c r="O241" s="35">
        <v>20000</v>
      </c>
      <c r="P241" s="35"/>
      <c r="Q241" s="35"/>
      <c r="R241" s="35"/>
      <c r="S241" s="41"/>
    </row>
    <row r="242" spans="1:19" s="15" customFormat="1" ht="26.25" customHeight="1" x14ac:dyDescent="0.2">
      <c r="A242" s="43" t="s">
        <v>89</v>
      </c>
      <c r="B242" s="46" t="s">
        <v>94</v>
      </c>
      <c r="C242" s="44" t="s">
        <v>98</v>
      </c>
      <c r="D242" s="47" t="s">
        <v>104</v>
      </c>
      <c r="E242" s="46" t="s">
        <v>110</v>
      </c>
      <c r="F242" s="35">
        <f>8000*2</f>
        <v>16000</v>
      </c>
      <c r="G242" s="40">
        <v>5500</v>
      </c>
      <c r="H242" s="35">
        <f>8000*2</f>
        <v>16000</v>
      </c>
      <c r="I242" s="49">
        <f t="shared" si="6"/>
        <v>21500</v>
      </c>
      <c r="J242" s="51">
        <f t="shared" si="7"/>
        <v>2.9090909090909092</v>
      </c>
      <c r="K242" s="48" t="s">
        <v>83</v>
      </c>
      <c r="L242" s="48" t="s">
        <v>83</v>
      </c>
      <c r="M242" s="38">
        <v>41820</v>
      </c>
      <c r="N242" s="48" t="s">
        <v>84</v>
      </c>
      <c r="O242" s="41">
        <v>8000</v>
      </c>
      <c r="P242" s="41">
        <v>8000</v>
      </c>
      <c r="Q242" s="41"/>
      <c r="R242" s="41"/>
      <c r="S242" s="41"/>
    </row>
    <row r="243" spans="1:19" s="15" customFormat="1" ht="26.25" customHeight="1" x14ac:dyDescent="0.2">
      <c r="A243" s="43" t="s">
        <v>424</v>
      </c>
      <c r="B243" s="46" t="s">
        <v>94</v>
      </c>
      <c r="C243" s="44" t="s">
        <v>438</v>
      </c>
      <c r="D243" s="47" t="s">
        <v>443</v>
      </c>
      <c r="E243" s="46" t="s">
        <v>436</v>
      </c>
      <c r="F243" s="35">
        <f>49500*3</f>
        <v>148500</v>
      </c>
      <c r="G243" s="40">
        <v>49500</v>
      </c>
      <c r="H243" s="35">
        <f>49500*3</f>
        <v>148500</v>
      </c>
      <c r="I243" s="35">
        <f t="shared" si="6"/>
        <v>198000</v>
      </c>
      <c r="J243" s="36">
        <f t="shared" si="7"/>
        <v>3</v>
      </c>
      <c r="K243" s="48" t="s">
        <v>83</v>
      </c>
      <c r="L243" s="48" t="s">
        <v>83</v>
      </c>
      <c r="M243" s="38">
        <v>41698</v>
      </c>
      <c r="N243" s="48" t="s">
        <v>86</v>
      </c>
      <c r="O243" s="35">
        <v>49500</v>
      </c>
      <c r="P243" s="35">
        <v>49500</v>
      </c>
      <c r="Q243" s="35">
        <v>49500</v>
      </c>
      <c r="R243" s="35"/>
      <c r="S243" s="41"/>
    </row>
    <row r="244" spans="1:19" s="15" customFormat="1" ht="26.25" customHeight="1" x14ac:dyDescent="0.2">
      <c r="A244" s="43" t="s">
        <v>273</v>
      </c>
      <c r="B244" s="46" t="s">
        <v>159</v>
      </c>
      <c r="C244" s="44" t="s">
        <v>286</v>
      </c>
      <c r="D244" s="47">
        <v>7058</v>
      </c>
      <c r="E244" s="46" t="s">
        <v>302</v>
      </c>
      <c r="F244" s="35">
        <v>20750</v>
      </c>
      <c r="G244" s="40">
        <v>20750</v>
      </c>
      <c r="H244" s="35">
        <v>0</v>
      </c>
      <c r="I244" s="35">
        <f t="shared" si="6"/>
        <v>20750</v>
      </c>
      <c r="J244" s="36">
        <f t="shared" si="7"/>
        <v>0</v>
      </c>
      <c r="K244" s="48" t="s">
        <v>83</v>
      </c>
      <c r="L244" s="48" t="s">
        <v>83</v>
      </c>
      <c r="M244" s="38">
        <v>41820</v>
      </c>
      <c r="N244" s="37"/>
      <c r="O244" s="35">
        <v>20750</v>
      </c>
      <c r="P244" s="35"/>
      <c r="Q244" s="35"/>
      <c r="R244" s="35"/>
      <c r="S244" s="41"/>
    </row>
    <row r="245" spans="1:19" s="15" customFormat="1" ht="26.25" customHeight="1" x14ac:dyDescent="0.2">
      <c r="A245" s="43" t="s">
        <v>607</v>
      </c>
      <c r="B245" s="46" t="s">
        <v>159</v>
      </c>
      <c r="C245" s="44" t="s">
        <v>286</v>
      </c>
      <c r="D245" s="47">
        <v>7569</v>
      </c>
      <c r="E245" s="46" t="s">
        <v>600</v>
      </c>
      <c r="F245" s="35">
        <v>99000</v>
      </c>
      <c r="G245" s="40">
        <v>99000</v>
      </c>
      <c r="H245" s="35">
        <v>0</v>
      </c>
      <c r="I245" s="35">
        <f t="shared" si="6"/>
        <v>99000</v>
      </c>
      <c r="J245" s="36">
        <f t="shared" si="7"/>
        <v>0</v>
      </c>
      <c r="K245" s="48" t="s">
        <v>83</v>
      </c>
      <c r="L245" s="48" t="s">
        <v>83</v>
      </c>
      <c r="M245" s="38">
        <v>41985</v>
      </c>
      <c r="N245" s="48"/>
      <c r="O245" s="35">
        <v>99000</v>
      </c>
      <c r="P245" s="35"/>
      <c r="Q245" s="35"/>
      <c r="R245" s="35"/>
      <c r="S245" s="41"/>
    </row>
    <row r="246" spans="1:19" s="15" customFormat="1" ht="26.25" customHeight="1" x14ac:dyDescent="0.2">
      <c r="A246" s="43" t="s">
        <v>784</v>
      </c>
      <c r="B246" s="46" t="s">
        <v>46</v>
      </c>
      <c r="C246" s="44" t="s">
        <v>286</v>
      </c>
      <c r="D246" s="47">
        <v>7830</v>
      </c>
      <c r="E246" s="46" t="s">
        <v>798</v>
      </c>
      <c r="F246" s="35">
        <f>98800*3</f>
        <v>296400</v>
      </c>
      <c r="G246" s="40">
        <f>98800*3</f>
        <v>296400</v>
      </c>
      <c r="H246" s="35">
        <v>0</v>
      </c>
      <c r="I246" s="35">
        <f t="shared" si="6"/>
        <v>296400</v>
      </c>
      <c r="J246" s="36">
        <f t="shared" si="7"/>
        <v>0</v>
      </c>
      <c r="K246" s="48" t="s">
        <v>83</v>
      </c>
      <c r="L246" s="48" t="s">
        <v>83</v>
      </c>
      <c r="M246" s="38">
        <v>41820</v>
      </c>
      <c r="N246" s="48" t="s">
        <v>84</v>
      </c>
      <c r="O246" s="35">
        <v>98800</v>
      </c>
      <c r="P246" s="35">
        <v>98800</v>
      </c>
      <c r="Q246" s="35">
        <v>98800</v>
      </c>
      <c r="R246" s="35"/>
      <c r="S246" s="41"/>
    </row>
    <row r="247" spans="1:19" s="15" customFormat="1" ht="26.25" customHeight="1" x14ac:dyDescent="0.2">
      <c r="A247" s="43" t="s">
        <v>349</v>
      </c>
      <c r="B247" s="46" t="s">
        <v>47</v>
      </c>
      <c r="C247" s="44" t="s">
        <v>373</v>
      </c>
      <c r="D247" s="47">
        <v>7266</v>
      </c>
      <c r="E247" s="46" t="s">
        <v>337</v>
      </c>
      <c r="F247" s="35">
        <v>15000</v>
      </c>
      <c r="G247" s="40">
        <v>15000</v>
      </c>
      <c r="H247" s="35">
        <v>0</v>
      </c>
      <c r="I247" s="35">
        <f t="shared" si="6"/>
        <v>15000</v>
      </c>
      <c r="J247" s="36">
        <f t="shared" si="7"/>
        <v>0</v>
      </c>
      <c r="K247" s="48" t="s">
        <v>83</v>
      </c>
      <c r="L247" s="48" t="s">
        <v>83</v>
      </c>
      <c r="M247" s="38">
        <v>41820</v>
      </c>
      <c r="N247" s="48"/>
      <c r="O247" s="35">
        <v>15000</v>
      </c>
      <c r="P247" s="35"/>
      <c r="Q247" s="35"/>
      <c r="R247" s="35"/>
      <c r="S247" s="41"/>
    </row>
    <row r="248" spans="1:19" s="15" customFormat="1" ht="26.25" customHeight="1" x14ac:dyDescent="0.2">
      <c r="A248" s="43" t="s">
        <v>811</v>
      </c>
      <c r="B248" s="46" t="s">
        <v>46</v>
      </c>
      <c r="C248" s="44" t="s">
        <v>817</v>
      </c>
      <c r="D248" s="47">
        <v>7937</v>
      </c>
      <c r="E248" s="46" t="s">
        <v>827</v>
      </c>
      <c r="F248" s="35">
        <f>20000*3</f>
        <v>60000</v>
      </c>
      <c r="G248" s="40">
        <f>20000*3</f>
        <v>60000</v>
      </c>
      <c r="H248" s="35">
        <v>0</v>
      </c>
      <c r="I248" s="35">
        <f t="shared" si="6"/>
        <v>60000</v>
      </c>
      <c r="J248" s="36">
        <f t="shared" si="7"/>
        <v>0</v>
      </c>
      <c r="K248" s="48" t="s">
        <v>83</v>
      </c>
      <c r="L248" s="48" t="s">
        <v>83</v>
      </c>
      <c r="M248" s="38">
        <v>42019</v>
      </c>
      <c r="N248" s="48" t="s">
        <v>84</v>
      </c>
      <c r="O248" s="35">
        <v>20000</v>
      </c>
      <c r="P248" s="35">
        <v>20000</v>
      </c>
      <c r="Q248" s="35">
        <v>20000</v>
      </c>
      <c r="R248" s="35"/>
      <c r="S248" s="41"/>
    </row>
    <row r="249" spans="1:19" s="15" customFormat="1" ht="26.25" customHeight="1" x14ac:dyDescent="0.2">
      <c r="A249" s="43" t="s">
        <v>230</v>
      </c>
      <c r="B249" s="46" t="s">
        <v>44</v>
      </c>
      <c r="C249" s="44" t="s">
        <v>235</v>
      </c>
      <c r="D249" s="47">
        <v>6358</v>
      </c>
      <c r="E249" s="46" t="s">
        <v>241</v>
      </c>
      <c r="F249" s="35">
        <v>24000</v>
      </c>
      <c r="G249" s="40">
        <v>24000</v>
      </c>
      <c r="H249" s="35">
        <v>0</v>
      </c>
      <c r="I249" s="35">
        <f t="shared" si="6"/>
        <v>24000</v>
      </c>
      <c r="J249" s="36">
        <f t="shared" si="7"/>
        <v>0</v>
      </c>
      <c r="K249" s="48" t="s">
        <v>83</v>
      </c>
      <c r="L249" s="48" t="s">
        <v>83</v>
      </c>
      <c r="M249" s="38">
        <v>41820</v>
      </c>
      <c r="N249" s="48"/>
      <c r="O249" s="35">
        <v>24000</v>
      </c>
      <c r="P249" s="35"/>
      <c r="Q249" s="35"/>
      <c r="R249" s="35"/>
      <c r="S249" s="41"/>
    </row>
    <row r="250" spans="1:19" s="15" customFormat="1" ht="26.25" customHeight="1" x14ac:dyDescent="0.2">
      <c r="A250" s="43" t="s">
        <v>898</v>
      </c>
      <c r="B250" s="46" t="s">
        <v>46</v>
      </c>
      <c r="C250" s="44" t="s">
        <v>906</v>
      </c>
      <c r="D250" s="47">
        <v>8073</v>
      </c>
      <c r="E250" s="46" t="s">
        <v>914</v>
      </c>
      <c r="F250" s="35">
        <f>15000*3</f>
        <v>45000</v>
      </c>
      <c r="G250" s="35">
        <f>15000*3</f>
        <v>45000</v>
      </c>
      <c r="H250" s="35">
        <v>0</v>
      </c>
      <c r="I250" s="35">
        <f t="shared" si="6"/>
        <v>45000</v>
      </c>
      <c r="J250" s="36">
        <f t="shared" si="7"/>
        <v>0</v>
      </c>
      <c r="K250" s="48" t="s">
        <v>83</v>
      </c>
      <c r="L250" s="48" t="s">
        <v>83</v>
      </c>
      <c r="M250" s="38">
        <v>41820</v>
      </c>
      <c r="N250" s="48" t="s">
        <v>84</v>
      </c>
      <c r="O250" s="35">
        <v>15000</v>
      </c>
      <c r="P250" s="35">
        <v>15000</v>
      </c>
      <c r="Q250" s="35">
        <v>15000</v>
      </c>
      <c r="R250" s="35"/>
      <c r="S250" s="41"/>
    </row>
    <row r="251" spans="1:19" s="15" customFormat="1" ht="26.25" customHeight="1" x14ac:dyDescent="0.2">
      <c r="A251" s="43" t="s">
        <v>23</v>
      </c>
      <c r="B251" s="46" t="s">
        <v>41</v>
      </c>
      <c r="C251" s="44" t="s">
        <v>54</v>
      </c>
      <c r="D251" s="34">
        <v>6337</v>
      </c>
      <c r="E251" s="46" t="s">
        <v>72</v>
      </c>
      <c r="F251" s="35">
        <v>18529</v>
      </c>
      <c r="G251" s="40">
        <v>18529</v>
      </c>
      <c r="H251" s="35">
        <v>0</v>
      </c>
      <c r="I251" s="49">
        <f t="shared" si="6"/>
        <v>18529</v>
      </c>
      <c r="J251" s="51">
        <f t="shared" si="7"/>
        <v>0</v>
      </c>
      <c r="K251" s="48" t="s">
        <v>83</v>
      </c>
      <c r="L251" s="48" t="s">
        <v>85</v>
      </c>
      <c r="M251" s="38">
        <v>41455</v>
      </c>
      <c r="N251" s="37"/>
      <c r="O251" s="41">
        <v>18529</v>
      </c>
      <c r="P251" s="41"/>
      <c r="Q251" s="41"/>
      <c r="R251" s="41"/>
      <c r="S251" s="41"/>
    </row>
    <row r="252" spans="1:19" s="15" customFormat="1" ht="26.25" customHeight="1" x14ac:dyDescent="0.2">
      <c r="A252" s="43" t="s">
        <v>490</v>
      </c>
      <c r="B252" s="46" t="s">
        <v>41</v>
      </c>
      <c r="C252" s="44" t="s">
        <v>54</v>
      </c>
      <c r="D252" s="47">
        <v>7279</v>
      </c>
      <c r="E252" s="46" t="s">
        <v>503</v>
      </c>
      <c r="F252" s="35">
        <v>7071</v>
      </c>
      <c r="G252" s="40">
        <v>7071</v>
      </c>
      <c r="H252" s="35">
        <v>0</v>
      </c>
      <c r="I252" s="35">
        <f t="shared" si="6"/>
        <v>7071</v>
      </c>
      <c r="J252" s="36">
        <f t="shared" si="7"/>
        <v>0</v>
      </c>
      <c r="K252" s="48" t="s">
        <v>83</v>
      </c>
      <c r="L252" s="48" t="s">
        <v>85</v>
      </c>
      <c r="M252" s="38">
        <v>41820</v>
      </c>
      <c r="N252" s="48"/>
      <c r="O252" s="35">
        <v>7071</v>
      </c>
      <c r="P252" s="35"/>
      <c r="Q252" s="35"/>
      <c r="R252" s="35"/>
      <c r="S252" s="41"/>
    </row>
    <row r="253" spans="1:19" s="15" customFormat="1" ht="26.25" customHeight="1" x14ac:dyDescent="0.2">
      <c r="A253" s="43" t="s">
        <v>548</v>
      </c>
      <c r="B253" s="46" t="s">
        <v>41</v>
      </c>
      <c r="C253" s="44" t="s">
        <v>54</v>
      </c>
      <c r="D253" s="47">
        <v>7431</v>
      </c>
      <c r="E253" s="46" t="s">
        <v>573</v>
      </c>
      <c r="F253" s="35">
        <v>18529</v>
      </c>
      <c r="G253" s="40">
        <v>18529</v>
      </c>
      <c r="H253" s="35">
        <v>0</v>
      </c>
      <c r="I253" s="35">
        <f t="shared" si="6"/>
        <v>18529</v>
      </c>
      <c r="J253" s="36">
        <f t="shared" si="7"/>
        <v>0</v>
      </c>
      <c r="K253" s="48" t="s">
        <v>83</v>
      </c>
      <c r="L253" s="48" t="s">
        <v>85</v>
      </c>
      <c r="M253" s="38">
        <v>41820</v>
      </c>
      <c r="N253" s="48"/>
      <c r="O253" s="35">
        <v>18529</v>
      </c>
      <c r="P253" s="35"/>
      <c r="Q253" s="35"/>
      <c r="R253" s="35"/>
      <c r="S253" s="41"/>
    </row>
    <row r="254" spans="1:19" s="15" customFormat="1" ht="26.25" customHeight="1" x14ac:dyDescent="0.2">
      <c r="A254" s="43" t="s">
        <v>628</v>
      </c>
      <c r="B254" s="43" t="s">
        <v>41</v>
      </c>
      <c r="C254" s="43" t="s">
        <v>54</v>
      </c>
      <c r="D254" s="47">
        <v>7683</v>
      </c>
      <c r="E254" s="46" t="s">
        <v>637</v>
      </c>
      <c r="F254" s="35">
        <v>18529</v>
      </c>
      <c r="G254" s="40">
        <v>18529</v>
      </c>
      <c r="H254" s="35">
        <v>0</v>
      </c>
      <c r="I254" s="35">
        <f t="shared" si="6"/>
        <v>18529</v>
      </c>
      <c r="J254" s="36">
        <f t="shared" si="7"/>
        <v>0</v>
      </c>
      <c r="K254" s="48" t="s">
        <v>83</v>
      </c>
      <c r="L254" s="48" t="s">
        <v>85</v>
      </c>
      <c r="M254" s="38">
        <v>41820</v>
      </c>
      <c r="N254" s="48"/>
      <c r="O254" s="35">
        <v>18529</v>
      </c>
      <c r="P254" s="35"/>
      <c r="Q254" s="35"/>
      <c r="R254" s="35"/>
      <c r="S254" s="41"/>
    </row>
    <row r="255" spans="1:19" s="15" customFormat="1" ht="26.25" customHeight="1" x14ac:dyDescent="0.2">
      <c r="A255" s="43" t="s">
        <v>834</v>
      </c>
      <c r="B255" s="46" t="s">
        <v>41</v>
      </c>
      <c r="C255" s="44" t="s">
        <v>54</v>
      </c>
      <c r="D255" s="47">
        <v>8049</v>
      </c>
      <c r="E255" s="46" t="s">
        <v>854</v>
      </c>
      <c r="F255" s="35">
        <v>18529</v>
      </c>
      <c r="G255" s="40">
        <v>18529</v>
      </c>
      <c r="H255" s="35">
        <v>0</v>
      </c>
      <c r="I255" s="35">
        <f t="shared" si="6"/>
        <v>18529</v>
      </c>
      <c r="J255" s="36">
        <f t="shared" si="7"/>
        <v>0</v>
      </c>
      <c r="K255" s="48" t="s">
        <v>83</v>
      </c>
      <c r="L255" s="48" t="s">
        <v>85</v>
      </c>
      <c r="M255" s="38">
        <v>41820</v>
      </c>
      <c r="N255" s="48"/>
      <c r="O255" s="35">
        <v>18529</v>
      </c>
      <c r="P255" s="35"/>
      <c r="Q255" s="35"/>
      <c r="R255" s="35"/>
      <c r="S255" s="41"/>
    </row>
    <row r="256" spans="1:19" s="15" customFormat="1" ht="26.25" customHeight="1" x14ac:dyDescent="0.2">
      <c r="A256" s="43" t="s">
        <v>937</v>
      </c>
      <c r="B256" s="46" t="s">
        <v>41</v>
      </c>
      <c r="C256" s="44" t="s">
        <v>54</v>
      </c>
      <c r="D256" s="47">
        <v>8240</v>
      </c>
      <c r="E256" s="46" t="s">
        <v>947</v>
      </c>
      <c r="F256" s="35">
        <v>23849</v>
      </c>
      <c r="G256" s="35">
        <v>23849</v>
      </c>
      <c r="H256" s="35">
        <v>0</v>
      </c>
      <c r="I256" s="35">
        <f t="shared" si="6"/>
        <v>23849</v>
      </c>
      <c r="J256" s="36">
        <f t="shared" si="7"/>
        <v>0</v>
      </c>
      <c r="K256" s="48" t="s">
        <v>83</v>
      </c>
      <c r="L256" s="48" t="s">
        <v>85</v>
      </c>
      <c r="M256" s="38">
        <v>41820</v>
      </c>
      <c r="N256" s="48"/>
      <c r="O256" s="35">
        <v>23849</v>
      </c>
      <c r="P256" s="35"/>
      <c r="Q256" s="35"/>
      <c r="R256" s="35"/>
      <c r="S256" s="41"/>
    </row>
    <row r="257" spans="1:19" s="15" customFormat="1" ht="26.25" customHeight="1" x14ac:dyDescent="0.2">
      <c r="A257" s="43" t="s">
        <v>1057</v>
      </c>
      <c r="B257" s="46" t="s">
        <v>94</v>
      </c>
      <c r="C257" s="44" t="s">
        <v>1065</v>
      </c>
      <c r="D257" s="47">
        <v>8406</v>
      </c>
      <c r="E257" s="46" t="s">
        <v>1073</v>
      </c>
      <c r="F257" s="35">
        <f>95730*3</f>
        <v>287190</v>
      </c>
      <c r="G257" s="35">
        <f>95730*3</f>
        <v>287190</v>
      </c>
      <c r="H257" s="35">
        <v>0</v>
      </c>
      <c r="I257" s="35">
        <f t="shared" si="6"/>
        <v>287190</v>
      </c>
      <c r="J257" s="36">
        <f t="shared" si="7"/>
        <v>0</v>
      </c>
      <c r="K257" s="48" t="s">
        <v>83</v>
      </c>
      <c r="L257" s="48" t="s">
        <v>83</v>
      </c>
      <c r="M257" s="38">
        <v>42185</v>
      </c>
      <c r="N257" s="48" t="s">
        <v>84</v>
      </c>
      <c r="O257" s="35"/>
      <c r="P257" s="35">
        <v>95730</v>
      </c>
      <c r="Q257" s="35">
        <v>95730</v>
      </c>
      <c r="R257" s="35">
        <v>95730</v>
      </c>
      <c r="S257" s="41"/>
    </row>
    <row r="258" spans="1:19" s="15" customFormat="1" ht="26.25" customHeight="1" x14ac:dyDescent="0.2">
      <c r="A258" s="43" t="s">
        <v>454</v>
      </c>
      <c r="B258" s="46" t="s">
        <v>159</v>
      </c>
      <c r="C258" s="44" t="s">
        <v>466</v>
      </c>
      <c r="D258" s="47" t="s">
        <v>471</v>
      </c>
      <c r="E258" s="46" t="s">
        <v>464</v>
      </c>
      <c r="F258" s="35">
        <v>5850</v>
      </c>
      <c r="G258" s="40">
        <v>12189</v>
      </c>
      <c r="H258" s="35">
        <v>5850</v>
      </c>
      <c r="I258" s="35">
        <f t="shared" ref="I258:I321" si="8">G258+H258</f>
        <v>18039</v>
      </c>
      <c r="J258" s="36">
        <f t="shared" ref="J258:J321" si="9">IF(G258=0,100%,(I258-G258)/G258)</f>
        <v>0.47994093034703422</v>
      </c>
      <c r="K258" s="48" t="s">
        <v>83</v>
      </c>
      <c r="L258" s="48" t="s">
        <v>83</v>
      </c>
      <c r="M258" s="38">
        <v>41820</v>
      </c>
      <c r="N258" s="48" t="s">
        <v>86</v>
      </c>
      <c r="O258" s="35">
        <v>5850</v>
      </c>
      <c r="P258" s="35"/>
      <c r="Q258" s="35"/>
      <c r="R258" s="35"/>
      <c r="S258" s="41"/>
    </row>
    <row r="259" spans="1:19" s="15" customFormat="1" ht="26.25" customHeight="1" x14ac:dyDescent="0.2">
      <c r="A259" s="43" t="s">
        <v>724</v>
      </c>
      <c r="B259" s="46" t="s">
        <v>159</v>
      </c>
      <c r="C259" s="44" t="s">
        <v>466</v>
      </c>
      <c r="D259" s="47" t="s">
        <v>750</v>
      </c>
      <c r="E259" s="46" t="s">
        <v>464</v>
      </c>
      <c r="F259" s="35">
        <v>35000</v>
      </c>
      <c r="G259" s="40">
        <v>12189</v>
      </c>
      <c r="H259" s="35">
        <f>5850+35000</f>
        <v>40850</v>
      </c>
      <c r="I259" s="35">
        <f t="shared" si="8"/>
        <v>53039</v>
      </c>
      <c r="J259" s="36">
        <f t="shared" si="9"/>
        <v>3.3513823939617686</v>
      </c>
      <c r="K259" s="48" t="s">
        <v>83</v>
      </c>
      <c r="L259" s="48" t="s">
        <v>83</v>
      </c>
      <c r="M259" s="38">
        <v>41820</v>
      </c>
      <c r="N259" s="48" t="s">
        <v>86</v>
      </c>
      <c r="O259" s="35">
        <v>35000</v>
      </c>
      <c r="P259" s="35"/>
      <c r="Q259" s="35"/>
      <c r="R259" s="35"/>
      <c r="S259" s="41"/>
    </row>
    <row r="260" spans="1:19" s="15" customFormat="1" ht="26.25" customHeight="1" x14ac:dyDescent="0.2">
      <c r="A260" s="43" t="s">
        <v>428</v>
      </c>
      <c r="B260" s="46" t="s">
        <v>39</v>
      </c>
      <c r="C260" s="44" t="s">
        <v>442</v>
      </c>
      <c r="D260" s="34">
        <v>7173</v>
      </c>
      <c r="E260" s="46" t="s">
        <v>434</v>
      </c>
      <c r="F260" s="35">
        <v>5950</v>
      </c>
      <c r="G260" s="40">
        <v>5950</v>
      </c>
      <c r="H260" s="35">
        <v>0</v>
      </c>
      <c r="I260" s="35">
        <f t="shared" si="8"/>
        <v>5950</v>
      </c>
      <c r="J260" s="36">
        <f t="shared" si="9"/>
        <v>0</v>
      </c>
      <c r="K260" s="48" t="s">
        <v>83</v>
      </c>
      <c r="L260" s="48" t="s">
        <v>85</v>
      </c>
      <c r="M260" s="38">
        <v>41639</v>
      </c>
      <c r="N260" s="48"/>
      <c r="O260" s="35">
        <v>5950</v>
      </c>
      <c r="P260" s="35"/>
      <c r="Q260" s="35"/>
      <c r="R260" s="35"/>
      <c r="S260" s="41"/>
    </row>
    <row r="261" spans="1:19" s="15" customFormat="1" ht="38.25" customHeight="1" x14ac:dyDescent="0.2">
      <c r="A261" s="43" t="s">
        <v>719</v>
      </c>
      <c r="B261" s="46" t="s">
        <v>39</v>
      </c>
      <c r="C261" s="44" t="s">
        <v>442</v>
      </c>
      <c r="D261" s="47">
        <v>7862</v>
      </c>
      <c r="E261" s="46" t="s">
        <v>742</v>
      </c>
      <c r="F261" s="35">
        <v>5090</v>
      </c>
      <c r="G261" s="40">
        <v>5090</v>
      </c>
      <c r="H261" s="35">
        <v>0</v>
      </c>
      <c r="I261" s="35">
        <f t="shared" si="8"/>
        <v>5090</v>
      </c>
      <c r="J261" s="36">
        <f t="shared" si="9"/>
        <v>0</v>
      </c>
      <c r="K261" s="48" t="s">
        <v>83</v>
      </c>
      <c r="L261" s="48" t="s">
        <v>83</v>
      </c>
      <c r="M261" s="38">
        <v>41698</v>
      </c>
      <c r="N261" s="48"/>
      <c r="O261" s="35">
        <v>5090</v>
      </c>
      <c r="P261" s="35"/>
      <c r="Q261" s="35"/>
      <c r="R261" s="35"/>
      <c r="S261" s="41"/>
    </row>
    <row r="262" spans="1:19" s="15" customFormat="1" ht="26.25" customHeight="1" x14ac:dyDescent="0.2">
      <c r="A262" s="43" t="s">
        <v>427</v>
      </c>
      <c r="B262" s="46" t="s">
        <v>39</v>
      </c>
      <c r="C262" s="44" t="s">
        <v>441</v>
      </c>
      <c r="D262" s="34">
        <v>7166</v>
      </c>
      <c r="E262" s="46" t="s">
        <v>433</v>
      </c>
      <c r="F262" s="35">
        <v>29112</v>
      </c>
      <c r="G262" s="40">
        <v>29112</v>
      </c>
      <c r="H262" s="35">
        <v>0</v>
      </c>
      <c r="I262" s="35">
        <f t="shared" si="8"/>
        <v>29112</v>
      </c>
      <c r="J262" s="36">
        <f t="shared" si="9"/>
        <v>0</v>
      </c>
      <c r="K262" s="48" t="s">
        <v>83</v>
      </c>
      <c r="L262" s="48" t="s">
        <v>85</v>
      </c>
      <c r="M262" s="38">
        <v>41639</v>
      </c>
      <c r="N262" s="48"/>
      <c r="O262" s="35">
        <v>29112</v>
      </c>
      <c r="P262" s="35"/>
      <c r="Q262" s="35"/>
      <c r="R262" s="35"/>
      <c r="S262" s="41"/>
    </row>
    <row r="263" spans="1:19" s="15" customFormat="1" ht="26.25" customHeight="1" x14ac:dyDescent="0.2">
      <c r="A263" s="43" t="s">
        <v>675</v>
      </c>
      <c r="B263" s="46" t="s">
        <v>39</v>
      </c>
      <c r="C263" s="44" t="s">
        <v>441</v>
      </c>
      <c r="D263" s="47">
        <v>7773</v>
      </c>
      <c r="E263" s="46" t="s">
        <v>691</v>
      </c>
      <c r="F263" s="35">
        <v>16290</v>
      </c>
      <c r="G263" s="40">
        <v>16290</v>
      </c>
      <c r="H263" s="35">
        <v>0</v>
      </c>
      <c r="I263" s="35">
        <f t="shared" si="8"/>
        <v>16290</v>
      </c>
      <c r="J263" s="36">
        <f t="shared" si="9"/>
        <v>0</v>
      </c>
      <c r="K263" s="48" t="s">
        <v>83</v>
      </c>
      <c r="L263" s="48" t="s">
        <v>85</v>
      </c>
      <c r="M263" s="38">
        <v>41820</v>
      </c>
      <c r="N263" s="48"/>
      <c r="O263" s="35">
        <v>16290</v>
      </c>
      <c r="P263" s="35"/>
      <c r="Q263" s="35"/>
      <c r="R263" s="35"/>
      <c r="S263" s="41"/>
    </row>
    <row r="264" spans="1:19" s="15" customFormat="1" ht="26.25" customHeight="1" x14ac:dyDescent="0.2">
      <c r="A264" s="43" t="s">
        <v>901</v>
      </c>
      <c r="B264" s="46" t="s">
        <v>39</v>
      </c>
      <c r="C264" s="44" t="s">
        <v>441</v>
      </c>
      <c r="D264" s="47">
        <v>8176</v>
      </c>
      <c r="E264" s="46" t="s">
        <v>917</v>
      </c>
      <c r="F264" s="35">
        <v>6500</v>
      </c>
      <c r="G264" s="35">
        <v>6500</v>
      </c>
      <c r="H264" s="35">
        <v>0</v>
      </c>
      <c r="I264" s="35">
        <f t="shared" si="8"/>
        <v>6500</v>
      </c>
      <c r="J264" s="36">
        <f t="shared" si="9"/>
        <v>0</v>
      </c>
      <c r="K264" s="48" t="s">
        <v>83</v>
      </c>
      <c r="L264" s="48" t="s">
        <v>85</v>
      </c>
      <c r="M264" s="38">
        <v>41820</v>
      </c>
      <c r="N264" s="48"/>
      <c r="O264" s="35">
        <v>6500</v>
      </c>
      <c r="P264" s="35"/>
      <c r="Q264" s="35"/>
      <c r="R264" s="35"/>
      <c r="S264" s="41"/>
    </row>
    <row r="265" spans="1:19" s="15" customFormat="1" ht="26.25" customHeight="1" x14ac:dyDescent="0.2">
      <c r="A265" s="43" t="s">
        <v>1020</v>
      </c>
      <c r="B265" s="46" t="s">
        <v>39</v>
      </c>
      <c r="C265" s="44" t="s">
        <v>441</v>
      </c>
      <c r="D265" s="47" t="s">
        <v>1030</v>
      </c>
      <c r="E265" s="46" t="s">
        <v>1034</v>
      </c>
      <c r="F265" s="35">
        <v>2443</v>
      </c>
      <c r="G265" s="35">
        <v>6500</v>
      </c>
      <c r="H265" s="35">
        <v>2443</v>
      </c>
      <c r="I265" s="35">
        <f t="shared" si="8"/>
        <v>8943</v>
      </c>
      <c r="J265" s="36">
        <f t="shared" si="9"/>
        <v>0.37584615384615383</v>
      </c>
      <c r="K265" s="48" t="s">
        <v>83</v>
      </c>
      <c r="L265" s="48" t="s">
        <v>83</v>
      </c>
      <c r="M265" s="38">
        <v>41820</v>
      </c>
      <c r="N265" s="48" t="s">
        <v>86</v>
      </c>
      <c r="O265" s="35">
        <v>2443</v>
      </c>
      <c r="P265" s="35"/>
      <c r="Q265" s="35"/>
      <c r="R265" s="35"/>
      <c r="S265" s="41"/>
    </row>
    <row r="266" spans="1:19" s="15" customFormat="1" ht="26.25" customHeight="1" x14ac:dyDescent="0.2">
      <c r="A266" s="43" t="s">
        <v>122</v>
      </c>
      <c r="B266" s="46" t="s">
        <v>124</v>
      </c>
      <c r="C266" s="44" t="s">
        <v>133</v>
      </c>
      <c r="D266" s="47">
        <v>6580</v>
      </c>
      <c r="E266" s="46" t="s">
        <v>140</v>
      </c>
      <c r="F266" s="35">
        <v>95000</v>
      </c>
      <c r="G266" s="40">
        <v>95000</v>
      </c>
      <c r="H266" s="35">
        <v>0</v>
      </c>
      <c r="I266" s="49">
        <f t="shared" si="8"/>
        <v>95000</v>
      </c>
      <c r="J266" s="51">
        <f t="shared" si="9"/>
        <v>0</v>
      </c>
      <c r="K266" s="48" t="s">
        <v>85</v>
      </c>
      <c r="L266" s="48" t="s">
        <v>85</v>
      </c>
      <c r="M266" s="38">
        <v>41820</v>
      </c>
      <c r="N266" s="48"/>
      <c r="O266" s="41">
        <v>95000</v>
      </c>
      <c r="P266" s="41"/>
      <c r="Q266" s="41"/>
      <c r="R266" s="41"/>
      <c r="S266" s="41"/>
    </row>
    <row r="267" spans="1:19" s="15" customFormat="1" ht="38.25" customHeight="1" x14ac:dyDescent="0.2">
      <c r="A267" s="43" t="s">
        <v>683</v>
      </c>
      <c r="B267" s="46" t="s">
        <v>688</v>
      </c>
      <c r="C267" s="44" t="s">
        <v>709</v>
      </c>
      <c r="D267" s="47">
        <v>7804</v>
      </c>
      <c r="E267" s="46" t="s">
        <v>701</v>
      </c>
      <c r="F267" s="35">
        <v>43750</v>
      </c>
      <c r="G267" s="40">
        <v>43750</v>
      </c>
      <c r="H267" s="35">
        <v>0</v>
      </c>
      <c r="I267" s="35">
        <f t="shared" si="8"/>
        <v>43750</v>
      </c>
      <c r="J267" s="36">
        <f t="shared" si="9"/>
        <v>0</v>
      </c>
      <c r="K267" s="48" t="s">
        <v>83</v>
      </c>
      <c r="L267" s="48" t="s">
        <v>83</v>
      </c>
      <c r="M267" s="38">
        <v>41820</v>
      </c>
      <c r="N267" s="48"/>
      <c r="O267" s="35">
        <v>43750</v>
      </c>
      <c r="P267" s="35"/>
      <c r="Q267" s="35"/>
      <c r="R267" s="35"/>
      <c r="S267" s="41"/>
    </row>
    <row r="268" spans="1:19" s="15" customFormat="1" ht="26.25" customHeight="1" x14ac:dyDescent="0.2">
      <c r="A268" s="43" t="s">
        <v>456</v>
      </c>
      <c r="B268" s="46" t="s">
        <v>315</v>
      </c>
      <c r="C268" s="44" t="s">
        <v>467</v>
      </c>
      <c r="D268" s="47" t="s">
        <v>472</v>
      </c>
      <c r="E268" s="46" t="s">
        <v>461</v>
      </c>
      <c r="F268" s="35">
        <v>25000</v>
      </c>
      <c r="G268" s="40">
        <v>25000</v>
      </c>
      <c r="H268" s="35">
        <v>0</v>
      </c>
      <c r="I268" s="35">
        <f t="shared" si="8"/>
        <v>25000</v>
      </c>
      <c r="J268" s="36">
        <f t="shared" si="9"/>
        <v>0</v>
      </c>
      <c r="K268" s="48" t="s">
        <v>83</v>
      </c>
      <c r="L268" s="48" t="s">
        <v>83</v>
      </c>
      <c r="M268" s="38">
        <v>41522</v>
      </c>
      <c r="N268" s="48"/>
      <c r="O268" s="35">
        <v>25000</v>
      </c>
      <c r="P268" s="35"/>
      <c r="Q268" s="35"/>
      <c r="R268" s="35"/>
      <c r="S268" s="41"/>
    </row>
    <row r="269" spans="1:19" s="15" customFormat="1" ht="38.25" customHeight="1" x14ac:dyDescent="0.2">
      <c r="A269" s="43" t="s">
        <v>451</v>
      </c>
      <c r="B269" s="46" t="s">
        <v>41</v>
      </c>
      <c r="C269" s="44" t="s">
        <v>452</v>
      </c>
      <c r="D269" s="34">
        <v>7271</v>
      </c>
      <c r="E269" s="46" t="s">
        <v>453</v>
      </c>
      <c r="F269" s="35">
        <v>32000</v>
      </c>
      <c r="G269" s="40">
        <v>60000</v>
      </c>
      <c r="H269" s="35">
        <v>32000</v>
      </c>
      <c r="I269" s="35">
        <f t="shared" si="8"/>
        <v>92000</v>
      </c>
      <c r="J269" s="36">
        <f t="shared" si="9"/>
        <v>0.53333333333333333</v>
      </c>
      <c r="K269" s="48" t="s">
        <v>83</v>
      </c>
      <c r="L269" s="48" t="s">
        <v>83</v>
      </c>
      <c r="M269" s="38">
        <v>41629</v>
      </c>
      <c r="N269" s="48" t="s">
        <v>86</v>
      </c>
      <c r="O269" s="35">
        <v>32000</v>
      </c>
      <c r="P269" s="35"/>
      <c r="Q269" s="35"/>
      <c r="R269" s="35"/>
      <c r="S269" s="41"/>
    </row>
    <row r="270" spans="1:19" s="15" customFormat="1" ht="26.25" customHeight="1" x14ac:dyDescent="0.2">
      <c r="A270" s="43" t="s">
        <v>582</v>
      </c>
      <c r="B270" s="46" t="s">
        <v>159</v>
      </c>
      <c r="C270" s="44" t="s">
        <v>587</v>
      </c>
      <c r="D270" s="47">
        <v>7508</v>
      </c>
      <c r="E270" s="46" t="s">
        <v>591</v>
      </c>
      <c r="F270" s="35">
        <v>30000</v>
      </c>
      <c r="G270" s="40">
        <v>30000</v>
      </c>
      <c r="H270" s="35">
        <v>0</v>
      </c>
      <c r="I270" s="35">
        <f t="shared" si="8"/>
        <v>30000</v>
      </c>
      <c r="J270" s="36">
        <f t="shared" si="9"/>
        <v>0</v>
      </c>
      <c r="K270" s="48" t="s">
        <v>83</v>
      </c>
      <c r="L270" s="48" t="s">
        <v>83</v>
      </c>
      <c r="M270" s="38">
        <v>41957</v>
      </c>
      <c r="N270" s="48"/>
      <c r="O270" s="35">
        <v>30000</v>
      </c>
      <c r="P270" s="35"/>
      <c r="Q270" s="35"/>
      <c r="R270" s="35"/>
      <c r="S270" s="41"/>
    </row>
    <row r="271" spans="1:19" s="15" customFormat="1" ht="26.25" customHeight="1" x14ac:dyDescent="0.2">
      <c r="A271" s="43" t="s">
        <v>534</v>
      </c>
      <c r="B271" s="46" t="s">
        <v>41</v>
      </c>
      <c r="C271" s="44" t="s">
        <v>538</v>
      </c>
      <c r="D271" s="47" t="s">
        <v>539</v>
      </c>
      <c r="E271" s="46" t="s">
        <v>543</v>
      </c>
      <c r="F271" s="35">
        <f>25000*2</f>
        <v>50000</v>
      </c>
      <c r="G271" s="40">
        <v>22330</v>
      </c>
      <c r="H271" s="35">
        <f>25000+25000+25000</f>
        <v>75000</v>
      </c>
      <c r="I271" s="35">
        <f t="shared" si="8"/>
        <v>97330</v>
      </c>
      <c r="J271" s="36">
        <f t="shared" si="9"/>
        <v>3.3587102552619794</v>
      </c>
      <c r="K271" s="48" t="s">
        <v>83</v>
      </c>
      <c r="L271" s="48" t="s">
        <v>83</v>
      </c>
      <c r="M271" s="38">
        <v>41820</v>
      </c>
      <c r="N271" s="48" t="s">
        <v>86</v>
      </c>
      <c r="O271" s="35">
        <v>25000</v>
      </c>
      <c r="P271" s="35">
        <v>25000</v>
      </c>
      <c r="Q271" s="35"/>
      <c r="R271" s="35"/>
      <c r="S271" s="41"/>
    </row>
    <row r="272" spans="1:19" s="15" customFormat="1" ht="26.25" customHeight="1" x14ac:dyDescent="0.2">
      <c r="A272" s="43" t="s">
        <v>751</v>
      </c>
      <c r="B272" s="46" t="s">
        <v>41</v>
      </c>
      <c r="C272" s="44" t="s">
        <v>538</v>
      </c>
      <c r="D272" s="47" t="s">
        <v>761</v>
      </c>
      <c r="E272" s="46" t="s">
        <v>764</v>
      </c>
      <c r="F272" s="35">
        <v>25000</v>
      </c>
      <c r="G272" s="40">
        <v>22330</v>
      </c>
      <c r="H272" s="35">
        <f>25000+25000+25000</f>
        <v>75000</v>
      </c>
      <c r="I272" s="35">
        <f t="shared" si="8"/>
        <v>97330</v>
      </c>
      <c r="J272" s="36">
        <f t="shared" si="9"/>
        <v>3.3587102552619794</v>
      </c>
      <c r="K272" s="48" t="s">
        <v>83</v>
      </c>
      <c r="L272" s="48" t="s">
        <v>83</v>
      </c>
      <c r="M272" s="38">
        <v>41820</v>
      </c>
      <c r="N272" s="48" t="s">
        <v>86</v>
      </c>
      <c r="O272" s="35">
        <v>25000</v>
      </c>
      <c r="P272" s="35"/>
      <c r="Q272" s="35"/>
      <c r="R272" s="35"/>
      <c r="S272" s="41"/>
    </row>
    <row r="273" spans="1:19" s="15" customFormat="1" ht="26.25" customHeight="1" x14ac:dyDescent="0.2">
      <c r="A273" s="43" t="s">
        <v>927</v>
      </c>
      <c r="B273" s="46" t="s">
        <v>41</v>
      </c>
      <c r="C273" s="44" t="s">
        <v>538</v>
      </c>
      <c r="D273" s="47">
        <v>8215</v>
      </c>
      <c r="E273" s="46" t="s">
        <v>764</v>
      </c>
      <c r="F273" s="35">
        <v>24500</v>
      </c>
      <c r="G273" s="35">
        <v>22330</v>
      </c>
      <c r="H273" s="35">
        <f>25000+25000+25000+24500</f>
        <v>99500</v>
      </c>
      <c r="I273" s="35">
        <f t="shared" si="8"/>
        <v>121830</v>
      </c>
      <c r="J273" s="36">
        <f t="shared" si="9"/>
        <v>4.4558889386475595</v>
      </c>
      <c r="K273" s="48" t="s">
        <v>83</v>
      </c>
      <c r="L273" s="48" t="s">
        <v>83</v>
      </c>
      <c r="M273" s="38">
        <v>41820</v>
      </c>
      <c r="N273" s="48" t="s">
        <v>86</v>
      </c>
      <c r="O273" s="35">
        <v>24500</v>
      </c>
      <c r="P273" s="35"/>
      <c r="Q273" s="35"/>
      <c r="R273" s="35"/>
      <c r="S273" s="41"/>
    </row>
    <row r="274" spans="1:19" s="15" customFormat="1" ht="26.25" customHeight="1" x14ac:dyDescent="0.2">
      <c r="A274" s="43" t="s">
        <v>676</v>
      </c>
      <c r="B274" s="46" t="s">
        <v>39</v>
      </c>
      <c r="C274" s="44" t="s">
        <v>704</v>
      </c>
      <c r="D274" s="47">
        <v>7780</v>
      </c>
      <c r="E274" s="46" t="s">
        <v>692</v>
      </c>
      <c r="F274" s="35">
        <v>45000</v>
      </c>
      <c r="G274" s="40">
        <v>45000</v>
      </c>
      <c r="H274" s="35">
        <v>0</v>
      </c>
      <c r="I274" s="35">
        <f t="shared" si="8"/>
        <v>45000</v>
      </c>
      <c r="J274" s="36">
        <f t="shared" si="9"/>
        <v>0</v>
      </c>
      <c r="K274" s="48" t="s">
        <v>83</v>
      </c>
      <c r="L274" s="48" t="s">
        <v>83</v>
      </c>
      <c r="M274" s="38">
        <v>41820</v>
      </c>
      <c r="N274" s="48"/>
      <c r="O274" s="35">
        <v>45000</v>
      </c>
      <c r="P274" s="35"/>
      <c r="Q274" s="35"/>
      <c r="R274" s="35"/>
      <c r="S274" s="41"/>
    </row>
    <row r="275" spans="1:19" s="15" customFormat="1" ht="26.25" customHeight="1" x14ac:dyDescent="0.2">
      <c r="A275" s="43" t="s">
        <v>686</v>
      </c>
      <c r="B275" s="46" t="s">
        <v>47</v>
      </c>
      <c r="C275" s="44" t="s">
        <v>711</v>
      </c>
      <c r="D275" s="47">
        <v>7825</v>
      </c>
      <c r="E275" s="46" t="s">
        <v>338</v>
      </c>
      <c r="F275" s="35">
        <v>10000</v>
      </c>
      <c r="G275" s="40">
        <v>10000</v>
      </c>
      <c r="H275" s="35">
        <v>0</v>
      </c>
      <c r="I275" s="35">
        <f t="shared" si="8"/>
        <v>10000</v>
      </c>
      <c r="J275" s="36">
        <f t="shared" si="9"/>
        <v>0</v>
      </c>
      <c r="K275" s="48" t="s">
        <v>83</v>
      </c>
      <c r="L275" s="48" t="s">
        <v>83</v>
      </c>
      <c r="M275" s="38">
        <v>41820</v>
      </c>
      <c r="N275" s="48"/>
      <c r="O275" s="35">
        <v>10000</v>
      </c>
      <c r="P275" s="35"/>
      <c r="Q275" s="35"/>
      <c r="R275" s="35"/>
      <c r="S275" s="41"/>
    </row>
    <row r="276" spans="1:19" s="15" customFormat="1" ht="26.25" customHeight="1" x14ac:dyDescent="0.2">
      <c r="A276" s="43" t="s">
        <v>243</v>
      </c>
      <c r="B276" s="46" t="s">
        <v>44</v>
      </c>
      <c r="C276" s="44" t="s">
        <v>251</v>
      </c>
      <c r="D276" s="47">
        <v>6487</v>
      </c>
      <c r="E276" s="46" t="s">
        <v>258</v>
      </c>
      <c r="F276" s="35">
        <v>12000</v>
      </c>
      <c r="G276" s="40">
        <v>99000</v>
      </c>
      <c r="H276" s="35">
        <v>12000</v>
      </c>
      <c r="I276" s="35">
        <f t="shared" si="8"/>
        <v>111000</v>
      </c>
      <c r="J276" s="36">
        <f t="shared" si="9"/>
        <v>0.12121212121212122</v>
      </c>
      <c r="K276" s="48" t="s">
        <v>83</v>
      </c>
      <c r="L276" s="48" t="s">
        <v>83</v>
      </c>
      <c r="M276" s="38">
        <v>41759</v>
      </c>
      <c r="N276" s="48" t="s">
        <v>86</v>
      </c>
      <c r="O276" s="35">
        <v>12000</v>
      </c>
      <c r="P276" s="35"/>
      <c r="Q276" s="35"/>
      <c r="R276" s="35"/>
      <c r="S276" s="41"/>
    </row>
    <row r="277" spans="1:19" s="15" customFormat="1" ht="26.25" customHeight="1" x14ac:dyDescent="0.2">
      <c r="A277" s="43" t="s">
        <v>31</v>
      </c>
      <c r="B277" s="46" t="s">
        <v>45</v>
      </c>
      <c r="C277" s="44" t="s">
        <v>61</v>
      </c>
      <c r="D277" s="47">
        <v>6518</v>
      </c>
      <c r="E277" s="46" t="s">
        <v>79</v>
      </c>
      <c r="F277" s="35">
        <v>49980</v>
      </c>
      <c r="G277" s="40">
        <v>49980</v>
      </c>
      <c r="H277" s="35">
        <v>49980</v>
      </c>
      <c r="I277" s="49">
        <f t="shared" si="8"/>
        <v>99960</v>
      </c>
      <c r="J277" s="51">
        <f t="shared" si="9"/>
        <v>1</v>
      </c>
      <c r="K277" s="48" t="s">
        <v>83</v>
      </c>
      <c r="L277" s="48" t="s">
        <v>83</v>
      </c>
      <c r="M277" s="38">
        <v>41820</v>
      </c>
      <c r="N277" s="48" t="s">
        <v>86</v>
      </c>
      <c r="O277" s="41">
        <v>49980</v>
      </c>
      <c r="P277" s="41"/>
      <c r="Q277" s="41"/>
      <c r="R277" s="41"/>
      <c r="S277" s="41"/>
    </row>
    <row r="278" spans="1:19" s="15" customFormat="1" ht="26.25" customHeight="1" x14ac:dyDescent="0.2">
      <c r="A278" s="43" t="s">
        <v>117</v>
      </c>
      <c r="B278" s="46" t="s">
        <v>43</v>
      </c>
      <c r="C278" s="44" t="s">
        <v>128</v>
      </c>
      <c r="D278" s="34">
        <v>6418</v>
      </c>
      <c r="E278" s="46" t="s">
        <v>137</v>
      </c>
      <c r="F278" s="35">
        <f>60000*2</f>
        <v>120000</v>
      </c>
      <c r="G278" s="40">
        <f>60000*2</f>
        <v>120000</v>
      </c>
      <c r="H278" s="35">
        <v>0</v>
      </c>
      <c r="I278" s="49">
        <f t="shared" si="8"/>
        <v>120000</v>
      </c>
      <c r="J278" s="51">
        <f t="shared" si="9"/>
        <v>0</v>
      </c>
      <c r="K278" s="48" t="s">
        <v>83</v>
      </c>
      <c r="L278" s="48" t="s">
        <v>83</v>
      </c>
      <c r="M278" s="38">
        <v>41820</v>
      </c>
      <c r="N278" s="48" t="s">
        <v>84</v>
      </c>
      <c r="O278" s="41">
        <v>60000</v>
      </c>
      <c r="P278" s="41">
        <v>60000</v>
      </c>
      <c r="Q278" s="41"/>
      <c r="R278" s="41"/>
      <c r="S278" s="41"/>
    </row>
    <row r="279" spans="1:19" s="15" customFormat="1" ht="26.25" customHeight="1" x14ac:dyDescent="0.2">
      <c r="A279" s="43" t="s">
        <v>953</v>
      </c>
      <c r="B279" s="46" t="s">
        <v>557</v>
      </c>
      <c r="C279" s="44" t="s">
        <v>958</v>
      </c>
      <c r="D279" s="47">
        <v>8254</v>
      </c>
      <c r="E279" s="46" t="s">
        <v>966</v>
      </c>
      <c r="F279" s="35">
        <v>45000</v>
      </c>
      <c r="G279" s="35">
        <v>45000</v>
      </c>
      <c r="H279" s="35">
        <v>0</v>
      </c>
      <c r="I279" s="35">
        <f t="shared" si="8"/>
        <v>45000</v>
      </c>
      <c r="J279" s="36">
        <f t="shared" si="9"/>
        <v>0</v>
      </c>
      <c r="K279" s="48" t="s">
        <v>83</v>
      </c>
      <c r="L279" s="48" t="s">
        <v>83</v>
      </c>
      <c r="M279" s="38">
        <v>42215</v>
      </c>
      <c r="N279" s="48"/>
      <c r="O279" s="35">
        <v>45000</v>
      </c>
      <c r="P279" s="35"/>
      <c r="Q279" s="35"/>
      <c r="R279" s="35"/>
      <c r="S279" s="41"/>
    </row>
    <row r="280" spans="1:19" s="15" customFormat="1" ht="26.25" customHeight="1" x14ac:dyDescent="0.2">
      <c r="A280" s="43" t="s">
        <v>348</v>
      </c>
      <c r="B280" s="46" t="s">
        <v>47</v>
      </c>
      <c r="C280" s="44" t="s">
        <v>372</v>
      </c>
      <c r="D280" s="47">
        <v>7267</v>
      </c>
      <c r="E280" s="46" t="s">
        <v>389</v>
      </c>
      <c r="F280" s="35">
        <v>20000</v>
      </c>
      <c r="G280" s="40">
        <v>20000</v>
      </c>
      <c r="H280" s="35">
        <v>0</v>
      </c>
      <c r="I280" s="35">
        <f t="shared" si="8"/>
        <v>20000</v>
      </c>
      <c r="J280" s="36">
        <f t="shared" si="9"/>
        <v>0</v>
      </c>
      <c r="K280" s="48" t="s">
        <v>83</v>
      </c>
      <c r="L280" s="48" t="s">
        <v>83</v>
      </c>
      <c r="M280" s="38">
        <v>41820</v>
      </c>
      <c r="N280" s="48"/>
      <c r="O280" s="35">
        <v>20000</v>
      </c>
      <c r="P280" s="35"/>
      <c r="Q280" s="35"/>
      <c r="R280" s="35"/>
      <c r="S280" s="41"/>
    </row>
    <row r="281" spans="1:19" s="15" customFormat="1" ht="26.25" customHeight="1" x14ac:dyDescent="0.2">
      <c r="A281" s="43" t="s">
        <v>812</v>
      </c>
      <c r="B281" s="46" t="s">
        <v>315</v>
      </c>
      <c r="C281" s="44" t="s">
        <v>818</v>
      </c>
      <c r="D281" s="47" t="s">
        <v>822</v>
      </c>
      <c r="E281" s="46" t="s">
        <v>823</v>
      </c>
      <c r="F281" s="35">
        <v>15000</v>
      </c>
      <c r="G281" s="40">
        <v>15000</v>
      </c>
      <c r="H281" s="35">
        <v>0</v>
      </c>
      <c r="I281" s="35">
        <f t="shared" si="8"/>
        <v>15000</v>
      </c>
      <c r="J281" s="36">
        <f t="shared" si="9"/>
        <v>0</v>
      </c>
      <c r="K281" s="48" t="s">
        <v>83</v>
      </c>
      <c r="L281" s="48" t="s">
        <v>83</v>
      </c>
      <c r="M281" s="38">
        <v>42185</v>
      </c>
      <c r="N281" s="48"/>
      <c r="O281" s="35">
        <v>15000</v>
      </c>
      <c r="P281" s="35"/>
      <c r="Q281" s="35"/>
      <c r="R281" s="35"/>
      <c r="S281" s="41"/>
    </row>
    <row r="282" spans="1:19" s="15" customFormat="1" ht="26.25" customHeight="1" x14ac:dyDescent="0.2">
      <c r="A282" s="43" t="s">
        <v>274</v>
      </c>
      <c r="B282" s="46" t="s">
        <v>159</v>
      </c>
      <c r="C282" s="44" t="s">
        <v>287</v>
      </c>
      <c r="D282" s="34">
        <v>7059</v>
      </c>
      <c r="E282" s="46" t="s">
        <v>303</v>
      </c>
      <c r="F282" s="35">
        <v>35000</v>
      </c>
      <c r="G282" s="40">
        <v>35000</v>
      </c>
      <c r="H282" s="35">
        <v>0</v>
      </c>
      <c r="I282" s="35">
        <f t="shared" si="8"/>
        <v>35000</v>
      </c>
      <c r="J282" s="36">
        <f t="shared" si="9"/>
        <v>0</v>
      </c>
      <c r="K282" s="48" t="s">
        <v>83</v>
      </c>
      <c r="L282" s="48" t="s">
        <v>83</v>
      </c>
      <c r="M282" s="38">
        <v>41820</v>
      </c>
      <c r="N282" s="48"/>
      <c r="O282" s="35">
        <v>35000</v>
      </c>
      <c r="P282" s="35"/>
      <c r="Q282" s="35"/>
      <c r="R282" s="35"/>
      <c r="S282" s="41"/>
    </row>
    <row r="283" spans="1:19" s="15" customFormat="1" ht="26.25" customHeight="1" x14ac:dyDescent="0.2">
      <c r="A283" s="43" t="s">
        <v>640</v>
      </c>
      <c r="B283" s="46" t="s">
        <v>46</v>
      </c>
      <c r="C283" s="43" t="s">
        <v>647</v>
      </c>
      <c r="D283" s="47">
        <v>7653</v>
      </c>
      <c r="E283" s="46" t="s">
        <v>644</v>
      </c>
      <c r="F283" s="35">
        <v>13281</v>
      </c>
      <c r="G283" s="40">
        <v>13281</v>
      </c>
      <c r="H283" s="35">
        <v>0</v>
      </c>
      <c r="I283" s="35">
        <f t="shared" si="8"/>
        <v>13281</v>
      </c>
      <c r="J283" s="36">
        <f t="shared" si="9"/>
        <v>0</v>
      </c>
      <c r="K283" s="48" t="s">
        <v>83</v>
      </c>
      <c r="L283" s="48" t="s">
        <v>83</v>
      </c>
      <c r="M283" s="38">
        <v>42693</v>
      </c>
      <c r="N283" s="48"/>
      <c r="O283" s="35">
        <v>13281</v>
      </c>
      <c r="P283" s="35"/>
      <c r="Q283" s="35"/>
      <c r="R283" s="35"/>
      <c r="S283" s="41"/>
    </row>
    <row r="284" spans="1:19" s="15" customFormat="1" ht="26.25" customHeight="1" x14ac:dyDescent="0.2">
      <c r="A284" s="43" t="s">
        <v>1022</v>
      </c>
      <c r="B284" s="46" t="s">
        <v>46</v>
      </c>
      <c r="C284" s="44" t="s">
        <v>647</v>
      </c>
      <c r="D284" s="47">
        <v>8487</v>
      </c>
      <c r="E284" s="46" t="s">
        <v>1036</v>
      </c>
      <c r="F284" s="35">
        <v>7968</v>
      </c>
      <c r="G284" s="35">
        <v>7968</v>
      </c>
      <c r="H284" s="35">
        <v>0</v>
      </c>
      <c r="I284" s="35">
        <f t="shared" si="8"/>
        <v>7968</v>
      </c>
      <c r="J284" s="36">
        <f t="shared" si="9"/>
        <v>0</v>
      </c>
      <c r="K284" s="48" t="s">
        <v>83</v>
      </c>
      <c r="L284" s="48" t="s">
        <v>83</v>
      </c>
      <c r="M284" s="38">
        <v>41852</v>
      </c>
      <c r="N284" s="48"/>
      <c r="O284" s="35">
        <v>7968</v>
      </c>
      <c r="P284" s="35"/>
      <c r="Q284" s="35"/>
      <c r="R284" s="35"/>
      <c r="S284" s="41"/>
    </row>
    <row r="285" spans="1:19" s="15" customFormat="1" ht="26.25" customHeight="1" x14ac:dyDescent="0.2">
      <c r="A285" s="43" t="s">
        <v>118</v>
      </c>
      <c r="B285" s="46" t="s">
        <v>43</v>
      </c>
      <c r="C285" s="44" t="s">
        <v>129</v>
      </c>
      <c r="D285" s="34">
        <v>6420</v>
      </c>
      <c r="E285" s="46" t="s">
        <v>138</v>
      </c>
      <c r="F285" s="35">
        <f>60000*2</f>
        <v>120000</v>
      </c>
      <c r="G285" s="40">
        <f>60000*2</f>
        <v>120000</v>
      </c>
      <c r="H285" s="35">
        <v>0</v>
      </c>
      <c r="I285" s="49">
        <f t="shared" si="8"/>
        <v>120000</v>
      </c>
      <c r="J285" s="51">
        <f t="shared" si="9"/>
        <v>0</v>
      </c>
      <c r="K285" s="48" t="s">
        <v>83</v>
      </c>
      <c r="L285" s="48" t="s">
        <v>83</v>
      </c>
      <c r="M285" s="38">
        <v>41820</v>
      </c>
      <c r="N285" s="48" t="s">
        <v>84</v>
      </c>
      <c r="O285" s="41">
        <v>60000</v>
      </c>
      <c r="P285" s="41">
        <v>60000</v>
      </c>
      <c r="Q285" s="41"/>
      <c r="R285" s="41"/>
      <c r="S285" s="41"/>
    </row>
    <row r="286" spans="1:19" s="15" customFormat="1" ht="26.25" customHeight="1" x14ac:dyDescent="0.2">
      <c r="A286" s="43" t="s">
        <v>189</v>
      </c>
      <c r="B286" s="46" t="s">
        <v>47</v>
      </c>
      <c r="C286" s="44" t="s">
        <v>203</v>
      </c>
      <c r="D286" s="47" t="s">
        <v>212</v>
      </c>
      <c r="E286" s="46" t="s">
        <v>218</v>
      </c>
      <c r="F286" s="35">
        <v>85000</v>
      </c>
      <c r="G286" s="40">
        <v>85000</v>
      </c>
      <c r="H286" s="35">
        <v>0</v>
      </c>
      <c r="I286" s="35">
        <f t="shared" si="8"/>
        <v>85000</v>
      </c>
      <c r="J286" s="36">
        <f t="shared" si="9"/>
        <v>0</v>
      </c>
      <c r="K286" s="48" t="s">
        <v>83</v>
      </c>
      <c r="L286" s="48" t="s">
        <v>83</v>
      </c>
      <c r="M286" s="52">
        <v>41820</v>
      </c>
      <c r="N286" s="48"/>
      <c r="O286" s="35">
        <v>85000</v>
      </c>
      <c r="P286" s="35"/>
      <c r="Q286" s="35"/>
      <c r="R286" s="35"/>
      <c r="S286" s="41"/>
    </row>
    <row r="287" spans="1:19" s="15" customFormat="1" ht="26.25" customHeight="1" x14ac:dyDescent="0.2">
      <c r="A287" s="43" t="s">
        <v>25</v>
      </c>
      <c r="B287" s="46" t="s">
        <v>38</v>
      </c>
      <c r="C287" s="44" t="s">
        <v>56</v>
      </c>
      <c r="D287" s="47">
        <v>6368</v>
      </c>
      <c r="E287" s="46" t="s">
        <v>76</v>
      </c>
      <c r="F287" s="35">
        <v>20000</v>
      </c>
      <c r="G287" s="40">
        <v>20000</v>
      </c>
      <c r="H287" s="35">
        <v>0</v>
      </c>
      <c r="I287" s="49">
        <f t="shared" si="8"/>
        <v>20000</v>
      </c>
      <c r="J287" s="51">
        <f t="shared" si="9"/>
        <v>0</v>
      </c>
      <c r="K287" s="48" t="s">
        <v>83</v>
      </c>
      <c r="L287" s="48" t="s">
        <v>83</v>
      </c>
      <c r="M287" s="38">
        <v>41547</v>
      </c>
      <c r="N287" s="48"/>
      <c r="O287" s="41">
        <v>20000</v>
      </c>
      <c r="P287" s="41"/>
      <c r="Q287" s="41"/>
      <c r="R287" s="41"/>
      <c r="S287" s="41"/>
    </row>
    <row r="288" spans="1:19" s="15" customFormat="1" ht="26.25" customHeight="1" x14ac:dyDescent="0.2">
      <c r="A288" s="43" t="s">
        <v>1005</v>
      </c>
      <c r="B288" s="46" t="s">
        <v>557</v>
      </c>
      <c r="C288" s="44" t="s">
        <v>1010</v>
      </c>
      <c r="D288" s="47" t="s">
        <v>65</v>
      </c>
      <c r="E288" s="46" t="s">
        <v>1015</v>
      </c>
      <c r="F288" s="35">
        <v>38640</v>
      </c>
      <c r="G288" s="35">
        <v>38640</v>
      </c>
      <c r="H288" s="35">
        <v>0</v>
      </c>
      <c r="I288" s="35">
        <f t="shared" si="8"/>
        <v>38640</v>
      </c>
      <c r="J288" s="36">
        <f t="shared" si="9"/>
        <v>0</v>
      </c>
      <c r="K288" s="48" t="s">
        <v>83</v>
      </c>
      <c r="L288" s="48" t="s">
        <v>85</v>
      </c>
      <c r="M288" s="38">
        <v>41831</v>
      </c>
      <c r="N288" s="48"/>
      <c r="O288" s="35">
        <v>38640</v>
      </c>
      <c r="P288" s="35"/>
      <c r="Q288" s="35"/>
      <c r="R288" s="35"/>
      <c r="S288" s="41"/>
    </row>
    <row r="289" spans="1:19" s="15" customFormat="1" ht="26.25" customHeight="1" x14ac:dyDescent="0.2">
      <c r="A289" s="43" t="s">
        <v>585</v>
      </c>
      <c r="B289" s="46" t="s">
        <v>159</v>
      </c>
      <c r="C289" s="44" t="s">
        <v>589</v>
      </c>
      <c r="D289" s="47">
        <v>7565</v>
      </c>
      <c r="E289" s="46" t="s">
        <v>594</v>
      </c>
      <c r="F289" s="35">
        <f>34560*3</f>
        <v>103680</v>
      </c>
      <c r="G289" s="40">
        <f>34560*3</f>
        <v>103680</v>
      </c>
      <c r="H289" s="35">
        <v>0</v>
      </c>
      <c r="I289" s="35">
        <f t="shared" si="8"/>
        <v>103680</v>
      </c>
      <c r="J289" s="36">
        <f t="shared" si="9"/>
        <v>0</v>
      </c>
      <c r="K289" s="48" t="s">
        <v>83</v>
      </c>
      <c r="L289" s="48" t="s">
        <v>83</v>
      </c>
      <c r="M289" s="38">
        <v>41989</v>
      </c>
      <c r="N289" s="48" t="s">
        <v>84</v>
      </c>
      <c r="O289" s="35">
        <v>34560</v>
      </c>
      <c r="P289" s="35">
        <v>34560</v>
      </c>
      <c r="Q289" s="35">
        <v>34560</v>
      </c>
      <c r="R289" s="35"/>
      <c r="S289" s="41"/>
    </row>
    <row r="290" spans="1:19" s="15" customFormat="1" ht="38.25" customHeight="1" x14ac:dyDescent="0.2">
      <c r="A290" s="43" t="s">
        <v>143</v>
      </c>
      <c r="B290" s="46" t="s">
        <v>145</v>
      </c>
      <c r="C290" s="44" t="s">
        <v>147</v>
      </c>
      <c r="D290" s="34">
        <v>6565</v>
      </c>
      <c r="E290" s="46" t="s">
        <v>150</v>
      </c>
      <c r="F290" s="35">
        <f>22000*3</f>
        <v>66000</v>
      </c>
      <c r="G290" s="40">
        <f>22000*3</f>
        <v>66000</v>
      </c>
      <c r="H290" s="35">
        <v>0</v>
      </c>
      <c r="I290" s="35">
        <f t="shared" si="8"/>
        <v>66000</v>
      </c>
      <c r="J290" s="36">
        <f t="shared" si="9"/>
        <v>0</v>
      </c>
      <c r="K290" s="48" t="s">
        <v>83</v>
      </c>
      <c r="L290" s="48" t="s">
        <v>83</v>
      </c>
      <c r="M290" s="52" t="s">
        <v>152</v>
      </c>
      <c r="N290" s="48" t="s">
        <v>84</v>
      </c>
      <c r="O290" s="41">
        <v>22000</v>
      </c>
      <c r="P290" s="41">
        <v>22000</v>
      </c>
      <c r="Q290" s="41">
        <v>22000</v>
      </c>
      <c r="R290" s="41"/>
      <c r="S290" s="41"/>
    </row>
    <row r="291" spans="1:19" s="15" customFormat="1" ht="26.25" customHeight="1" x14ac:dyDescent="0.2">
      <c r="A291" s="43" t="s">
        <v>30</v>
      </c>
      <c r="B291" s="46" t="s">
        <v>45</v>
      </c>
      <c r="C291" s="44" t="s">
        <v>60</v>
      </c>
      <c r="D291" s="47">
        <v>6513</v>
      </c>
      <c r="E291" s="46" t="s">
        <v>78</v>
      </c>
      <c r="F291" s="35">
        <v>39000</v>
      </c>
      <c r="G291" s="40">
        <v>46800</v>
      </c>
      <c r="H291" s="35">
        <v>39000</v>
      </c>
      <c r="I291" s="49">
        <f t="shared" si="8"/>
        <v>85800</v>
      </c>
      <c r="J291" s="51">
        <f t="shared" si="9"/>
        <v>0.83333333333333337</v>
      </c>
      <c r="K291" s="48" t="s">
        <v>83</v>
      </c>
      <c r="L291" s="48" t="s">
        <v>83</v>
      </c>
      <c r="M291" s="38">
        <v>41638</v>
      </c>
      <c r="N291" s="48" t="s">
        <v>86</v>
      </c>
      <c r="O291" s="41">
        <v>39000</v>
      </c>
      <c r="P291" s="41"/>
      <c r="Q291" s="41"/>
      <c r="R291" s="41"/>
      <c r="S291" s="41"/>
    </row>
    <row r="292" spans="1:19" s="15" customFormat="1" ht="26.25" customHeight="1" x14ac:dyDescent="0.2">
      <c r="A292" s="43" t="s">
        <v>899</v>
      </c>
      <c r="B292" s="46" t="s">
        <v>124</v>
      </c>
      <c r="C292" s="44" t="s">
        <v>907</v>
      </c>
      <c r="D292" s="47" t="s">
        <v>911</v>
      </c>
      <c r="E292" s="46" t="s">
        <v>915</v>
      </c>
      <c r="F292" s="35">
        <v>10000</v>
      </c>
      <c r="G292" s="35">
        <v>4990</v>
      </c>
      <c r="H292" s="35">
        <v>10000</v>
      </c>
      <c r="I292" s="35">
        <f t="shared" si="8"/>
        <v>14990</v>
      </c>
      <c r="J292" s="36">
        <f t="shared" si="9"/>
        <v>2.0040080160320639</v>
      </c>
      <c r="K292" s="48" t="s">
        <v>83</v>
      </c>
      <c r="L292" s="48" t="s">
        <v>83</v>
      </c>
      <c r="M292" s="38">
        <v>41820</v>
      </c>
      <c r="N292" s="48" t="s">
        <v>86</v>
      </c>
      <c r="O292" s="35">
        <v>10000</v>
      </c>
      <c r="P292" s="35"/>
      <c r="Q292" s="35"/>
      <c r="R292" s="35"/>
      <c r="S292" s="41"/>
    </row>
    <row r="293" spans="1:19" s="15" customFormat="1" ht="26.25" customHeight="1" x14ac:dyDescent="0.2">
      <c r="A293" s="43" t="s">
        <v>248</v>
      </c>
      <c r="B293" s="46" t="s">
        <v>40</v>
      </c>
      <c r="C293" s="44" t="s">
        <v>255</v>
      </c>
      <c r="D293" s="34">
        <v>6892</v>
      </c>
      <c r="E293" s="46" t="s">
        <v>263</v>
      </c>
      <c r="F293" s="35">
        <v>25000</v>
      </c>
      <c r="G293" s="40">
        <v>25000</v>
      </c>
      <c r="H293" s="35">
        <v>0</v>
      </c>
      <c r="I293" s="35">
        <f t="shared" si="8"/>
        <v>25000</v>
      </c>
      <c r="J293" s="36">
        <f t="shared" si="9"/>
        <v>0</v>
      </c>
      <c r="K293" s="48" t="s">
        <v>83</v>
      </c>
      <c r="L293" s="48" t="s">
        <v>83</v>
      </c>
      <c r="M293" s="38">
        <v>41820</v>
      </c>
      <c r="N293" s="48"/>
      <c r="O293" s="35">
        <v>25000</v>
      </c>
      <c r="P293" s="35"/>
      <c r="Q293" s="35"/>
      <c r="R293" s="35"/>
      <c r="S293" s="41"/>
    </row>
    <row r="294" spans="1:19" s="15" customFormat="1" ht="26.25" customHeight="1" x14ac:dyDescent="0.2">
      <c r="A294" s="43" t="s">
        <v>583</v>
      </c>
      <c r="B294" s="46" t="s">
        <v>42</v>
      </c>
      <c r="C294" s="44" t="s">
        <v>588</v>
      </c>
      <c r="D294" s="47">
        <v>7531</v>
      </c>
      <c r="E294" s="46" t="s">
        <v>595</v>
      </c>
      <c r="F294" s="35">
        <v>14525</v>
      </c>
      <c r="G294" s="40">
        <v>14525</v>
      </c>
      <c r="H294" s="35">
        <v>0</v>
      </c>
      <c r="I294" s="35">
        <f t="shared" si="8"/>
        <v>14525</v>
      </c>
      <c r="J294" s="36">
        <f t="shared" si="9"/>
        <v>0</v>
      </c>
      <c r="K294" s="48" t="s">
        <v>83</v>
      </c>
      <c r="L294" s="48" t="s">
        <v>83</v>
      </c>
      <c r="M294" s="38">
        <v>41486</v>
      </c>
      <c r="N294" s="48"/>
      <c r="O294" s="35">
        <v>14525</v>
      </c>
      <c r="P294" s="35"/>
      <c r="Q294" s="35"/>
      <c r="R294" s="35"/>
      <c r="S294" s="41"/>
    </row>
    <row r="295" spans="1:19" s="15" customFormat="1" ht="26.25" customHeight="1" x14ac:dyDescent="0.2">
      <c r="A295" s="43" t="s">
        <v>401</v>
      </c>
      <c r="B295" s="46" t="s">
        <v>159</v>
      </c>
      <c r="C295" s="44" t="s">
        <v>407</v>
      </c>
      <c r="D295" s="34">
        <v>6894</v>
      </c>
      <c r="E295" s="46" t="s">
        <v>398</v>
      </c>
      <c r="F295" s="35">
        <v>19000</v>
      </c>
      <c r="G295" s="40">
        <v>19000</v>
      </c>
      <c r="H295" s="35">
        <v>0</v>
      </c>
      <c r="I295" s="35">
        <f t="shared" si="8"/>
        <v>19000</v>
      </c>
      <c r="J295" s="36">
        <f t="shared" si="9"/>
        <v>0</v>
      </c>
      <c r="K295" s="48" t="s">
        <v>83</v>
      </c>
      <c r="L295" s="48" t="s">
        <v>83</v>
      </c>
      <c r="M295" s="38">
        <v>41765</v>
      </c>
      <c r="N295" s="48"/>
      <c r="O295" s="35">
        <v>19000</v>
      </c>
      <c r="P295" s="35"/>
      <c r="Q295" s="35"/>
      <c r="R295" s="35"/>
      <c r="S295" s="41"/>
    </row>
    <row r="296" spans="1:19" s="15" customFormat="1" ht="26.25" customHeight="1" x14ac:dyDescent="0.2">
      <c r="A296" s="43" t="s">
        <v>402</v>
      </c>
      <c r="B296" s="46" t="s">
        <v>159</v>
      </c>
      <c r="C296" s="44" t="s">
        <v>407</v>
      </c>
      <c r="D296" s="34">
        <v>6903</v>
      </c>
      <c r="E296" s="46" t="s">
        <v>396</v>
      </c>
      <c r="F296" s="35">
        <v>23500</v>
      </c>
      <c r="G296" s="40">
        <v>23500</v>
      </c>
      <c r="H296" s="35">
        <v>0</v>
      </c>
      <c r="I296" s="35">
        <f t="shared" si="8"/>
        <v>23500</v>
      </c>
      <c r="J296" s="36">
        <f t="shared" si="9"/>
        <v>0</v>
      </c>
      <c r="K296" s="48" t="s">
        <v>83</v>
      </c>
      <c r="L296" s="48" t="s">
        <v>83</v>
      </c>
      <c r="M296" s="38">
        <v>41820</v>
      </c>
      <c r="N296" s="48"/>
      <c r="O296" s="35">
        <v>23500</v>
      </c>
      <c r="P296" s="35"/>
      <c r="Q296" s="35"/>
      <c r="R296" s="35"/>
      <c r="S296" s="41"/>
    </row>
    <row r="297" spans="1:19" s="15" customFormat="1" ht="26.25" customHeight="1" x14ac:dyDescent="0.2">
      <c r="A297" s="43" t="s">
        <v>491</v>
      </c>
      <c r="B297" s="46" t="s">
        <v>516</v>
      </c>
      <c r="C297" s="44" t="s">
        <v>520</v>
      </c>
      <c r="D297" s="47">
        <v>7303</v>
      </c>
      <c r="E297" s="46" t="s">
        <v>504</v>
      </c>
      <c r="F297" s="35">
        <v>9750</v>
      </c>
      <c r="G297" s="40">
        <v>9750</v>
      </c>
      <c r="H297" s="35">
        <v>0</v>
      </c>
      <c r="I297" s="35">
        <f t="shared" si="8"/>
        <v>9750</v>
      </c>
      <c r="J297" s="36">
        <f t="shared" si="9"/>
        <v>0</v>
      </c>
      <c r="K297" s="48" t="s">
        <v>83</v>
      </c>
      <c r="L297" s="48" t="s">
        <v>83</v>
      </c>
      <c r="M297" s="38">
        <v>41820</v>
      </c>
      <c r="N297" s="48"/>
      <c r="O297" s="35">
        <v>9750</v>
      </c>
      <c r="P297" s="35"/>
      <c r="Q297" s="35"/>
      <c r="R297" s="35"/>
      <c r="S297" s="41"/>
    </row>
    <row r="298" spans="1:19" s="15" customFormat="1" ht="26.25" customHeight="1" x14ac:dyDescent="0.2">
      <c r="A298" s="43" t="s">
        <v>276</v>
      </c>
      <c r="B298" s="46" t="s">
        <v>94</v>
      </c>
      <c r="C298" s="44" t="s">
        <v>289</v>
      </c>
      <c r="D298" s="34">
        <v>7062</v>
      </c>
      <c r="E298" s="46" t="s">
        <v>305</v>
      </c>
      <c r="F298" s="35">
        <v>49500</v>
      </c>
      <c r="G298" s="40">
        <v>49500</v>
      </c>
      <c r="H298" s="35">
        <v>0</v>
      </c>
      <c r="I298" s="35">
        <f t="shared" si="8"/>
        <v>49500</v>
      </c>
      <c r="J298" s="36">
        <f t="shared" si="9"/>
        <v>0</v>
      </c>
      <c r="K298" s="48" t="s">
        <v>83</v>
      </c>
      <c r="L298" s="48" t="s">
        <v>83</v>
      </c>
      <c r="M298" s="38">
        <v>41881</v>
      </c>
      <c r="N298" s="48"/>
      <c r="O298" s="35">
        <v>49500</v>
      </c>
      <c r="P298" s="35"/>
      <c r="Q298" s="35"/>
      <c r="R298" s="35"/>
      <c r="S298" s="41"/>
    </row>
    <row r="299" spans="1:19" s="15" customFormat="1" ht="26.25" customHeight="1" x14ac:dyDescent="0.2">
      <c r="A299" s="43" t="s">
        <v>423</v>
      </c>
      <c r="B299" s="46" t="s">
        <v>430</v>
      </c>
      <c r="C299" s="44" t="s">
        <v>437</v>
      </c>
      <c r="D299" s="34">
        <v>6954</v>
      </c>
      <c r="E299" s="46" t="s">
        <v>431</v>
      </c>
      <c r="F299" s="35">
        <f>15000*3</f>
        <v>45000</v>
      </c>
      <c r="G299" s="40">
        <f>15000*3</f>
        <v>45000</v>
      </c>
      <c r="H299" s="35">
        <v>0</v>
      </c>
      <c r="I299" s="35">
        <f t="shared" si="8"/>
        <v>45000</v>
      </c>
      <c r="J299" s="36">
        <f t="shared" si="9"/>
        <v>0</v>
      </c>
      <c r="K299" s="48" t="s">
        <v>83</v>
      </c>
      <c r="L299" s="48" t="s">
        <v>83</v>
      </c>
      <c r="M299" s="38">
        <v>41820</v>
      </c>
      <c r="N299" s="48" t="s">
        <v>84</v>
      </c>
      <c r="O299" s="35">
        <v>15000</v>
      </c>
      <c r="P299" s="35">
        <v>15000</v>
      </c>
      <c r="Q299" s="35">
        <v>15000</v>
      </c>
      <c r="R299" s="35"/>
      <c r="S299" s="41"/>
    </row>
    <row r="300" spans="1:19" s="15" customFormat="1" ht="26.25" customHeight="1" x14ac:dyDescent="0.2">
      <c r="A300" s="43" t="s">
        <v>144</v>
      </c>
      <c r="B300" s="46" t="s">
        <v>145</v>
      </c>
      <c r="C300" s="44" t="s">
        <v>148</v>
      </c>
      <c r="D300" s="34">
        <v>6657</v>
      </c>
      <c r="E300" s="46" t="s">
        <v>151</v>
      </c>
      <c r="F300" s="35">
        <v>5500</v>
      </c>
      <c r="G300" s="40">
        <v>30000</v>
      </c>
      <c r="H300" s="35">
        <v>5500</v>
      </c>
      <c r="I300" s="35">
        <f t="shared" si="8"/>
        <v>35500</v>
      </c>
      <c r="J300" s="36">
        <f t="shared" si="9"/>
        <v>0.18333333333333332</v>
      </c>
      <c r="K300" s="48" t="s">
        <v>83</v>
      </c>
      <c r="L300" s="48" t="s">
        <v>83</v>
      </c>
      <c r="M300" s="38">
        <v>41820</v>
      </c>
      <c r="N300" s="48" t="s">
        <v>86</v>
      </c>
      <c r="O300" s="41">
        <v>5500</v>
      </c>
      <c r="P300" s="41"/>
      <c r="Q300" s="41"/>
      <c r="R300" s="41"/>
      <c r="S300" s="41"/>
    </row>
    <row r="301" spans="1:19" s="15" customFormat="1" ht="26.25" customHeight="1" x14ac:dyDescent="0.2">
      <c r="A301" s="43" t="s">
        <v>1018</v>
      </c>
      <c r="B301" s="46" t="s">
        <v>145</v>
      </c>
      <c r="C301" s="44" t="s">
        <v>148</v>
      </c>
      <c r="D301" s="47">
        <v>8425</v>
      </c>
      <c r="E301" s="46" t="s">
        <v>1032</v>
      </c>
      <c r="F301" s="35">
        <v>5500</v>
      </c>
      <c r="G301" s="35">
        <v>5500</v>
      </c>
      <c r="H301" s="35">
        <v>0</v>
      </c>
      <c r="I301" s="35">
        <f t="shared" si="8"/>
        <v>5500</v>
      </c>
      <c r="J301" s="36">
        <f t="shared" si="9"/>
        <v>0</v>
      </c>
      <c r="K301" s="48" t="s">
        <v>83</v>
      </c>
      <c r="L301" s="48" t="s">
        <v>83</v>
      </c>
      <c r="M301" s="38">
        <v>41820</v>
      </c>
      <c r="N301" s="48"/>
      <c r="O301" s="35">
        <v>5500</v>
      </c>
      <c r="P301" s="35"/>
      <c r="Q301" s="35"/>
      <c r="R301" s="35"/>
      <c r="S301" s="41"/>
    </row>
    <row r="302" spans="1:19" s="15" customFormat="1" ht="26.25" customHeight="1" x14ac:dyDescent="0.2">
      <c r="A302" s="43" t="s">
        <v>716</v>
      </c>
      <c r="B302" s="46" t="s">
        <v>46</v>
      </c>
      <c r="C302" s="44" t="s">
        <v>730</v>
      </c>
      <c r="D302" s="47">
        <v>7817</v>
      </c>
      <c r="E302" s="46" t="s">
        <v>739</v>
      </c>
      <c r="F302" s="35">
        <f>15000*3</f>
        <v>45000</v>
      </c>
      <c r="G302" s="40">
        <f>15000*3</f>
        <v>45000</v>
      </c>
      <c r="H302" s="35">
        <v>0</v>
      </c>
      <c r="I302" s="35">
        <f t="shared" si="8"/>
        <v>45000</v>
      </c>
      <c r="J302" s="36">
        <f t="shared" si="9"/>
        <v>0</v>
      </c>
      <c r="K302" s="48" t="s">
        <v>83</v>
      </c>
      <c r="L302" s="48" t="s">
        <v>83</v>
      </c>
      <c r="M302" s="38">
        <v>42035</v>
      </c>
      <c r="N302" s="48" t="s">
        <v>84</v>
      </c>
      <c r="O302" s="35">
        <v>15000</v>
      </c>
      <c r="P302" s="35">
        <v>15000</v>
      </c>
      <c r="Q302" s="35">
        <v>15000</v>
      </c>
      <c r="R302" s="35"/>
      <c r="S302" s="41"/>
    </row>
    <row r="303" spans="1:19" s="15" customFormat="1" ht="26.25" customHeight="1" x14ac:dyDescent="0.2">
      <c r="A303" s="43" t="s">
        <v>773</v>
      </c>
      <c r="B303" s="46" t="s">
        <v>44</v>
      </c>
      <c r="C303" s="44" t="s">
        <v>777</v>
      </c>
      <c r="D303" s="47">
        <v>7839</v>
      </c>
      <c r="E303" s="46" t="s">
        <v>783</v>
      </c>
      <c r="F303" s="35">
        <v>18530</v>
      </c>
      <c r="G303" s="40">
        <v>18530</v>
      </c>
      <c r="H303" s="35">
        <v>0</v>
      </c>
      <c r="I303" s="35">
        <f t="shared" si="8"/>
        <v>18530</v>
      </c>
      <c r="J303" s="36">
        <f t="shared" si="9"/>
        <v>0</v>
      </c>
      <c r="K303" s="48" t="s">
        <v>83</v>
      </c>
      <c r="L303" s="48" t="s">
        <v>83</v>
      </c>
      <c r="M303" s="38">
        <v>41668</v>
      </c>
      <c r="N303" s="48"/>
      <c r="O303" s="35">
        <v>18530</v>
      </c>
      <c r="P303" s="35"/>
      <c r="Q303" s="35"/>
      <c r="R303" s="35"/>
      <c r="S303" s="41"/>
    </row>
    <row r="304" spans="1:19" s="15" customFormat="1" ht="26.25" customHeight="1" x14ac:dyDescent="0.2">
      <c r="A304" s="43" t="s">
        <v>492</v>
      </c>
      <c r="B304" s="46" t="s">
        <v>517</v>
      </c>
      <c r="C304" s="44" t="s">
        <v>521</v>
      </c>
      <c r="D304" s="47">
        <v>7326</v>
      </c>
      <c r="E304" s="46" t="s">
        <v>505</v>
      </c>
      <c r="F304" s="35">
        <f>39912*3</f>
        <v>119736</v>
      </c>
      <c r="G304" s="40">
        <f>39912*3</f>
        <v>119736</v>
      </c>
      <c r="H304" s="35">
        <v>0</v>
      </c>
      <c r="I304" s="35">
        <f t="shared" si="8"/>
        <v>119736</v>
      </c>
      <c r="J304" s="36">
        <f t="shared" si="9"/>
        <v>0</v>
      </c>
      <c r="K304" s="48" t="s">
        <v>83</v>
      </c>
      <c r="L304" s="48" t="s">
        <v>83</v>
      </c>
      <c r="M304" s="38">
        <v>41726</v>
      </c>
      <c r="N304" s="48" t="s">
        <v>84</v>
      </c>
      <c r="O304" s="35">
        <v>39912</v>
      </c>
      <c r="P304" s="35">
        <v>39912</v>
      </c>
      <c r="Q304" s="35">
        <v>39912</v>
      </c>
      <c r="R304" s="35"/>
      <c r="S304" s="41"/>
    </row>
    <row r="305" spans="1:19" s="15" customFormat="1" ht="26.25" customHeight="1" x14ac:dyDescent="0.2">
      <c r="A305" s="43" t="s">
        <v>920</v>
      </c>
      <c r="B305" s="46" t="s">
        <v>46</v>
      </c>
      <c r="C305" s="44" t="s">
        <v>521</v>
      </c>
      <c r="D305" s="47">
        <v>8108</v>
      </c>
      <c r="E305" s="46" t="s">
        <v>930</v>
      </c>
      <c r="F305" s="35">
        <v>77769</v>
      </c>
      <c r="G305" s="35">
        <v>77769</v>
      </c>
      <c r="H305" s="35"/>
      <c r="I305" s="35">
        <f t="shared" si="8"/>
        <v>77769</v>
      </c>
      <c r="J305" s="36">
        <f t="shared" si="9"/>
        <v>0</v>
      </c>
      <c r="K305" s="48" t="s">
        <v>83</v>
      </c>
      <c r="L305" s="48" t="s">
        <v>83</v>
      </c>
      <c r="M305" s="52">
        <v>42822</v>
      </c>
      <c r="N305" s="48"/>
      <c r="O305" s="35">
        <v>77769</v>
      </c>
      <c r="P305" s="35"/>
      <c r="Q305" s="35"/>
      <c r="R305" s="35"/>
      <c r="S305" s="41"/>
    </row>
    <row r="306" spans="1:19" s="15" customFormat="1" ht="26.25" customHeight="1" x14ac:dyDescent="0.2">
      <c r="A306" s="43" t="s">
        <v>544</v>
      </c>
      <c r="B306" s="46" t="s">
        <v>557</v>
      </c>
      <c r="C306" s="44" t="s">
        <v>560</v>
      </c>
      <c r="D306" s="47">
        <v>7465</v>
      </c>
      <c r="E306" s="46" t="s">
        <v>571</v>
      </c>
      <c r="F306" s="35">
        <f>36800*3</f>
        <v>110400</v>
      </c>
      <c r="G306" s="40">
        <f>36800*3</f>
        <v>110400</v>
      </c>
      <c r="H306" s="35">
        <v>0</v>
      </c>
      <c r="I306" s="35">
        <f t="shared" si="8"/>
        <v>110400</v>
      </c>
      <c r="J306" s="36">
        <f t="shared" si="9"/>
        <v>0</v>
      </c>
      <c r="K306" s="48" t="s">
        <v>85</v>
      </c>
      <c r="L306" s="48" t="s">
        <v>83</v>
      </c>
      <c r="M306" s="38">
        <v>41820</v>
      </c>
      <c r="N306" s="48" t="s">
        <v>84</v>
      </c>
      <c r="O306" s="35">
        <v>36800</v>
      </c>
      <c r="P306" s="35">
        <v>36800</v>
      </c>
      <c r="Q306" s="35">
        <v>36800</v>
      </c>
      <c r="R306" s="35"/>
      <c r="S306" s="41"/>
    </row>
    <row r="307" spans="1:19" s="15" customFormat="1" ht="26.25" customHeight="1" x14ac:dyDescent="0.2">
      <c r="A307" s="43" t="s">
        <v>476</v>
      </c>
      <c r="B307" s="46" t="s">
        <v>45</v>
      </c>
      <c r="C307" s="44" t="s">
        <v>481</v>
      </c>
      <c r="D307" s="47">
        <v>7359</v>
      </c>
      <c r="E307" s="46" t="s">
        <v>485</v>
      </c>
      <c r="F307" s="35">
        <v>99000</v>
      </c>
      <c r="G307" s="40">
        <v>99000</v>
      </c>
      <c r="H307" s="35">
        <v>0</v>
      </c>
      <c r="I307" s="35">
        <f t="shared" si="8"/>
        <v>99000</v>
      </c>
      <c r="J307" s="36">
        <f t="shared" si="9"/>
        <v>0</v>
      </c>
      <c r="K307" s="48" t="s">
        <v>83</v>
      </c>
      <c r="L307" s="48" t="s">
        <v>83</v>
      </c>
      <c r="M307" s="38">
        <v>41820</v>
      </c>
      <c r="N307" s="48"/>
      <c r="O307" s="35">
        <v>99000</v>
      </c>
      <c r="P307" s="35"/>
      <c r="Q307" s="35"/>
      <c r="R307" s="35"/>
      <c r="S307" s="41"/>
    </row>
    <row r="308" spans="1:19" s="15" customFormat="1" ht="26.25" customHeight="1" x14ac:dyDescent="0.2">
      <c r="A308" s="43" t="s">
        <v>956</v>
      </c>
      <c r="B308" s="46" t="s">
        <v>40</v>
      </c>
      <c r="C308" s="44" t="s">
        <v>961</v>
      </c>
      <c r="D308" s="47" t="s">
        <v>964</v>
      </c>
      <c r="E308" s="46" t="s">
        <v>969</v>
      </c>
      <c r="F308" s="35">
        <v>3000</v>
      </c>
      <c r="G308" s="35">
        <v>33000</v>
      </c>
      <c r="H308" s="35">
        <v>3000</v>
      </c>
      <c r="I308" s="35">
        <f t="shared" si="8"/>
        <v>36000</v>
      </c>
      <c r="J308" s="36">
        <f t="shared" si="9"/>
        <v>9.0909090909090912E-2</v>
      </c>
      <c r="K308" s="48" t="s">
        <v>83</v>
      </c>
      <c r="L308" s="48" t="s">
        <v>83</v>
      </c>
      <c r="M308" s="38">
        <v>41820</v>
      </c>
      <c r="N308" s="48" t="s">
        <v>86</v>
      </c>
      <c r="O308" s="35">
        <v>3000</v>
      </c>
      <c r="P308" s="35"/>
      <c r="Q308" s="35"/>
      <c r="R308" s="35"/>
      <c r="S308" s="41"/>
    </row>
    <row r="309" spans="1:19" s="15" customFormat="1" ht="26.25" customHeight="1" x14ac:dyDescent="0.2">
      <c r="A309" s="43" t="s">
        <v>477</v>
      </c>
      <c r="B309" s="46" t="s">
        <v>159</v>
      </c>
      <c r="C309" s="44" t="s">
        <v>482</v>
      </c>
      <c r="D309" s="47">
        <v>7363</v>
      </c>
      <c r="E309" s="46" t="s">
        <v>486</v>
      </c>
      <c r="F309" s="35">
        <v>80000</v>
      </c>
      <c r="G309" s="40">
        <v>80000</v>
      </c>
      <c r="H309" s="35">
        <v>0</v>
      </c>
      <c r="I309" s="35">
        <f t="shared" si="8"/>
        <v>80000</v>
      </c>
      <c r="J309" s="36">
        <f t="shared" si="9"/>
        <v>0</v>
      </c>
      <c r="K309" s="48" t="s">
        <v>83</v>
      </c>
      <c r="L309" s="48" t="s">
        <v>83</v>
      </c>
      <c r="M309" s="38">
        <v>41820</v>
      </c>
      <c r="N309" s="48"/>
      <c r="O309" s="35">
        <v>80000</v>
      </c>
      <c r="P309" s="35"/>
      <c r="Q309" s="35"/>
      <c r="R309" s="35"/>
      <c r="S309" s="41"/>
    </row>
    <row r="310" spans="1:19" s="15" customFormat="1" ht="26.25" customHeight="1" x14ac:dyDescent="0.2">
      <c r="A310" s="43" t="s">
        <v>194</v>
      </c>
      <c r="B310" s="46" t="s">
        <v>200</v>
      </c>
      <c r="C310" s="44" t="s">
        <v>208</v>
      </c>
      <c r="D310" s="34">
        <v>6949</v>
      </c>
      <c r="E310" s="46" t="s">
        <v>222</v>
      </c>
      <c r="F310" s="35">
        <v>50611</v>
      </c>
      <c r="G310" s="40">
        <v>50611</v>
      </c>
      <c r="H310" s="35">
        <v>0</v>
      </c>
      <c r="I310" s="35">
        <f t="shared" si="8"/>
        <v>50611</v>
      </c>
      <c r="J310" s="36">
        <f t="shared" si="9"/>
        <v>0</v>
      </c>
      <c r="K310" s="48" t="s">
        <v>83</v>
      </c>
      <c r="L310" s="48" t="s">
        <v>83</v>
      </c>
      <c r="M310" s="38">
        <v>41820</v>
      </c>
      <c r="N310" s="37"/>
      <c r="O310" s="35">
        <v>50611</v>
      </c>
      <c r="P310" s="35"/>
      <c r="Q310" s="35"/>
      <c r="R310" s="35"/>
      <c r="S310" s="41"/>
    </row>
    <row r="311" spans="1:19" s="15" customFormat="1" ht="26.25" customHeight="1" x14ac:dyDescent="0.2">
      <c r="A311" s="43" t="s">
        <v>195</v>
      </c>
      <c r="B311" s="46" t="s">
        <v>159</v>
      </c>
      <c r="C311" s="44" t="s">
        <v>209</v>
      </c>
      <c r="D311" s="34">
        <v>6980</v>
      </c>
      <c r="E311" s="46" t="s">
        <v>223</v>
      </c>
      <c r="F311" s="35">
        <v>99000</v>
      </c>
      <c r="G311" s="40">
        <v>99000</v>
      </c>
      <c r="H311" s="35">
        <v>0</v>
      </c>
      <c r="I311" s="35">
        <f t="shared" si="8"/>
        <v>99000</v>
      </c>
      <c r="J311" s="36">
        <f t="shared" si="9"/>
        <v>0</v>
      </c>
      <c r="K311" s="48" t="s">
        <v>83</v>
      </c>
      <c r="L311" s="48" t="s">
        <v>83</v>
      </c>
      <c r="M311" s="38">
        <v>41820</v>
      </c>
      <c r="N311" s="48"/>
      <c r="O311" s="35">
        <v>99000</v>
      </c>
      <c r="P311" s="35"/>
      <c r="Q311" s="35"/>
      <c r="R311" s="35"/>
      <c r="S311" s="41"/>
    </row>
    <row r="312" spans="1:19" s="15" customFormat="1" ht="26.25" customHeight="1" x14ac:dyDescent="0.2">
      <c r="A312" s="43" t="s">
        <v>957</v>
      </c>
      <c r="B312" s="46" t="s">
        <v>940</v>
      </c>
      <c r="C312" s="44" t="s">
        <v>962</v>
      </c>
      <c r="D312" s="47">
        <v>8302</v>
      </c>
      <c r="E312" s="58" t="s">
        <v>970</v>
      </c>
      <c r="F312" s="35">
        <v>28000</v>
      </c>
      <c r="G312" s="35">
        <v>28000</v>
      </c>
      <c r="H312" s="35">
        <v>0</v>
      </c>
      <c r="I312" s="35">
        <f t="shared" si="8"/>
        <v>28000</v>
      </c>
      <c r="J312" s="36">
        <f t="shared" si="9"/>
        <v>0</v>
      </c>
      <c r="K312" s="48" t="s">
        <v>83</v>
      </c>
      <c r="L312" s="48" t="s">
        <v>83</v>
      </c>
      <c r="M312" s="38">
        <v>42004</v>
      </c>
      <c r="N312" s="48"/>
      <c r="O312" s="35">
        <v>28000</v>
      </c>
      <c r="P312" s="35"/>
      <c r="Q312" s="35"/>
      <c r="R312" s="35"/>
      <c r="S312" s="41"/>
    </row>
    <row r="313" spans="1:19" s="15" customFormat="1" ht="26.25" customHeight="1" x14ac:dyDescent="0.2">
      <c r="A313" s="43" t="s">
        <v>1084</v>
      </c>
      <c r="B313" s="46" t="s">
        <v>940</v>
      </c>
      <c r="C313" s="44" t="s">
        <v>962</v>
      </c>
      <c r="D313" s="47" t="s">
        <v>1086</v>
      </c>
      <c r="E313" s="46" t="s">
        <v>1087</v>
      </c>
      <c r="F313" s="35">
        <v>21000</v>
      </c>
      <c r="G313" s="35">
        <v>28000</v>
      </c>
      <c r="H313" s="35">
        <v>21000</v>
      </c>
      <c r="I313" s="35">
        <f t="shared" si="8"/>
        <v>49000</v>
      </c>
      <c r="J313" s="36">
        <f t="shared" si="9"/>
        <v>0.75</v>
      </c>
      <c r="K313" s="48" t="s">
        <v>83</v>
      </c>
      <c r="L313" s="48" t="s">
        <v>83</v>
      </c>
      <c r="M313" s="38">
        <v>42004</v>
      </c>
      <c r="N313" s="48" t="s">
        <v>86</v>
      </c>
      <c r="O313" s="35">
        <v>21000</v>
      </c>
      <c r="P313" s="35"/>
      <c r="Q313" s="35"/>
      <c r="R313" s="35"/>
      <c r="S313" s="41"/>
    </row>
    <row r="314" spans="1:19" s="15" customFormat="1" ht="26.25" customHeight="1" x14ac:dyDescent="0.2">
      <c r="A314" s="43" t="s">
        <v>119</v>
      </c>
      <c r="B314" s="46" t="s">
        <v>124</v>
      </c>
      <c r="C314" s="44" t="s">
        <v>130</v>
      </c>
      <c r="D314" s="47">
        <v>6581</v>
      </c>
      <c r="E314" s="46" t="s">
        <v>139</v>
      </c>
      <c r="F314" s="35">
        <v>95000</v>
      </c>
      <c r="G314" s="40">
        <v>95000</v>
      </c>
      <c r="H314" s="35">
        <v>0</v>
      </c>
      <c r="I314" s="49">
        <f t="shared" si="8"/>
        <v>95000</v>
      </c>
      <c r="J314" s="51">
        <f t="shared" si="9"/>
        <v>0</v>
      </c>
      <c r="K314" s="48" t="s">
        <v>85</v>
      </c>
      <c r="L314" s="48" t="s">
        <v>85</v>
      </c>
      <c r="M314" s="52">
        <v>41820</v>
      </c>
      <c r="N314" s="48"/>
      <c r="O314" s="41">
        <v>95000</v>
      </c>
      <c r="P314" s="41"/>
      <c r="Q314" s="41"/>
      <c r="R314" s="41"/>
      <c r="S314" s="41"/>
    </row>
    <row r="315" spans="1:19" s="15" customFormat="1" ht="26.25" customHeight="1" x14ac:dyDescent="0.2">
      <c r="A315" s="43" t="s">
        <v>1019</v>
      </c>
      <c r="B315" s="46" t="s">
        <v>46</v>
      </c>
      <c r="C315" s="44" t="s">
        <v>1026</v>
      </c>
      <c r="D315" s="47" t="s">
        <v>1029</v>
      </c>
      <c r="E315" s="46" t="s">
        <v>1033</v>
      </c>
      <c r="F315" s="35">
        <v>3000</v>
      </c>
      <c r="G315" s="35">
        <v>6000</v>
      </c>
      <c r="H315" s="35">
        <v>3000</v>
      </c>
      <c r="I315" s="35">
        <f t="shared" si="8"/>
        <v>9000</v>
      </c>
      <c r="J315" s="36">
        <f t="shared" si="9"/>
        <v>0.5</v>
      </c>
      <c r="K315" s="48" t="s">
        <v>83</v>
      </c>
      <c r="L315" s="48" t="s">
        <v>83</v>
      </c>
      <c r="M315" s="38">
        <v>41820</v>
      </c>
      <c r="N315" s="48" t="s">
        <v>86</v>
      </c>
      <c r="O315" s="35">
        <v>3000</v>
      </c>
      <c r="P315" s="35"/>
      <c r="Q315" s="35"/>
      <c r="R315" s="35"/>
      <c r="S315" s="41"/>
    </row>
    <row r="316" spans="1:19" s="15" customFormat="1" ht="26.25" customHeight="1" x14ac:dyDescent="0.2">
      <c r="A316" s="43" t="s">
        <v>924</v>
      </c>
      <c r="B316" s="46" t="s">
        <v>124</v>
      </c>
      <c r="C316" s="44" t="s">
        <v>1088</v>
      </c>
      <c r="D316" s="47">
        <v>8198</v>
      </c>
      <c r="E316" s="46" t="s">
        <v>933</v>
      </c>
      <c r="F316" s="35">
        <f>95000*3</f>
        <v>285000</v>
      </c>
      <c r="G316" s="35">
        <f>95000*3</f>
        <v>285000</v>
      </c>
      <c r="H316" s="35">
        <v>0</v>
      </c>
      <c r="I316" s="35">
        <f t="shared" si="8"/>
        <v>285000</v>
      </c>
      <c r="J316" s="36">
        <f t="shared" si="9"/>
        <v>0</v>
      </c>
      <c r="K316" s="48" t="s">
        <v>83</v>
      </c>
      <c r="L316" s="48" t="s">
        <v>85</v>
      </c>
      <c r="M316" s="38">
        <v>42124</v>
      </c>
      <c r="N316" s="48" t="s">
        <v>84</v>
      </c>
      <c r="O316" s="35">
        <v>95000</v>
      </c>
      <c r="P316" s="35">
        <v>95000</v>
      </c>
      <c r="Q316" s="35">
        <v>95000</v>
      </c>
      <c r="R316" s="35"/>
      <c r="S316" s="41"/>
    </row>
    <row r="317" spans="1:19" s="15" customFormat="1" ht="26.25" customHeight="1" x14ac:dyDescent="0.2">
      <c r="A317" s="43" t="s">
        <v>187</v>
      </c>
      <c r="B317" s="46" t="s">
        <v>94</v>
      </c>
      <c r="C317" s="44" t="s">
        <v>201</v>
      </c>
      <c r="D317" s="34">
        <v>6599</v>
      </c>
      <c r="E317" s="46" t="s">
        <v>216</v>
      </c>
      <c r="F317" s="40">
        <f>70000+70000</f>
        <v>140000</v>
      </c>
      <c r="G317" s="40">
        <f>70000+70000</f>
        <v>140000</v>
      </c>
      <c r="H317" s="35">
        <v>0</v>
      </c>
      <c r="I317" s="35">
        <f t="shared" si="8"/>
        <v>140000</v>
      </c>
      <c r="J317" s="36">
        <f t="shared" si="9"/>
        <v>0</v>
      </c>
      <c r="K317" s="48" t="s">
        <v>83</v>
      </c>
      <c r="L317" s="48" t="s">
        <v>83</v>
      </c>
      <c r="M317" s="52">
        <v>41820</v>
      </c>
      <c r="N317" s="48" t="s">
        <v>84</v>
      </c>
      <c r="O317" s="41">
        <v>70000</v>
      </c>
      <c r="P317" s="41">
        <v>70000</v>
      </c>
      <c r="Q317" s="41"/>
      <c r="R317" s="41"/>
      <c r="S317" s="41"/>
    </row>
    <row r="318" spans="1:19" s="15" customFormat="1" ht="26.25" customHeight="1" x14ac:dyDescent="0.2">
      <c r="A318" s="43" t="s">
        <v>718</v>
      </c>
      <c r="B318" s="46" t="s">
        <v>94</v>
      </c>
      <c r="C318" s="44" t="s">
        <v>732</v>
      </c>
      <c r="D318" s="47">
        <v>7861</v>
      </c>
      <c r="E318" s="46" t="s">
        <v>741</v>
      </c>
      <c r="F318" s="35">
        <v>49500</v>
      </c>
      <c r="G318" s="40">
        <v>49500</v>
      </c>
      <c r="H318" s="35">
        <v>0</v>
      </c>
      <c r="I318" s="35">
        <f t="shared" si="8"/>
        <v>49500</v>
      </c>
      <c r="J318" s="36">
        <f t="shared" si="9"/>
        <v>0</v>
      </c>
      <c r="K318" s="48" t="s">
        <v>83</v>
      </c>
      <c r="L318" s="48" t="s">
        <v>83</v>
      </c>
      <c r="M318" s="38">
        <v>42063</v>
      </c>
      <c r="N318" s="48"/>
      <c r="O318" s="35">
        <v>49500</v>
      </c>
      <c r="P318" s="35"/>
      <c r="Q318" s="35"/>
      <c r="R318" s="35"/>
      <c r="S318" s="41"/>
    </row>
    <row r="319" spans="1:19" s="15" customFormat="1" ht="26.25" customHeight="1" x14ac:dyDescent="0.2">
      <c r="A319" s="43" t="s">
        <v>1061</v>
      </c>
      <c r="B319" s="46" t="s">
        <v>94</v>
      </c>
      <c r="C319" s="44" t="s">
        <v>732</v>
      </c>
      <c r="D319" s="47" t="s">
        <v>1070</v>
      </c>
      <c r="E319" s="46" t="s">
        <v>1077</v>
      </c>
      <c r="F319" s="35">
        <v>5000</v>
      </c>
      <c r="G319" s="35">
        <v>49500</v>
      </c>
      <c r="H319" s="35">
        <v>5000</v>
      </c>
      <c r="I319" s="35">
        <f t="shared" si="8"/>
        <v>54500</v>
      </c>
      <c r="J319" s="36">
        <f t="shared" si="9"/>
        <v>0.10101010101010101</v>
      </c>
      <c r="K319" s="48" t="s">
        <v>83</v>
      </c>
      <c r="L319" s="48" t="s">
        <v>83</v>
      </c>
      <c r="M319" s="38">
        <v>42063</v>
      </c>
      <c r="N319" s="48" t="s">
        <v>86</v>
      </c>
      <c r="O319" s="35">
        <v>5000</v>
      </c>
      <c r="P319" s="35"/>
      <c r="Q319" s="35"/>
      <c r="R319" s="35"/>
      <c r="S319" s="41"/>
    </row>
    <row r="320" spans="1:19" s="15" customFormat="1" ht="26.25" customHeight="1" x14ac:dyDescent="0.2">
      <c r="A320" s="43" t="s">
        <v>727</v>
      </c>
      <c r="B320" s="46" t="s">
        <v>40</v>
      </c>
      <c r="C320" s="44" t="s">
        <v>737</v>
      </c>
      <c r="D320" s="47">
        <v>7897</v>
      </c>
      <c r="E320" s="46" t="s">
        <v>747</v>
      </c>
      <c r="F320" s="35">
        <f>10000*3</f>
        <v>30000</v>
      </c>
      <c r="G320" s="40">
        <f>10000*3</f>
        <v>30000</v>
      </c>
      <c r="H320" s="35">
        <v>0</v>
      </c>
      <c r="I320" s="35">
        <f t="shared" si="8"/>
        <v>30000</v>
      </c>
      <c r="J320" s="36">
        <f t="shared" si="9"/>
        <v>0</v>
      </c>
      <c r="K320" s="48" t="s">
        <v>83</v>
      </c>
      <c r="L320" s="48" t="s">
        <v>85</v>
      </c>
      <c r="M320" s="38">
        <v>41820</v>
      </c>
      <c r="N320" s="48" t="s">
        <v>84</v>
      </c>
      <c r="O320" s="35">
        <v>10000</v>
      </c>
      <c r="P320" s="35">
        <v>10000</v>
      </c>
      <c r="Q320" s="35">
        <v>10000</v>
      </c>
      <c r="R320" s="35"/>
      <c r="S320" s="41"/>
    </row>
    <row r="321" spans="1:19" s="15" customFormat="1" ht="26.25" customHeight="1" x14ac:dyDescent="0.2">
      <c r="A321" s="43" t="s">
        <v>955</v>
      </c>
      <c r="B321" s="46" t="s">
        <v>940</v>
      </c>
      <c r="C321" s="44" t="s">
        <v>960</v>
      </c>
      <c r="D321" s="47" t="s">
        <v>963</v>
      </c>
      <c r="E321" s="46" t="s">
        <v>968</v>
      </c>
      <c r="F321" s="35">
        <v>21000</v>
      </c>
      <c r="G321" s="35">
        <v>15000</v>
      </c>
      <c r="H321" s="35">
        <v>21000</v>
      </c>
      <c r="I321" s="35">
        <f t="shared" si="8"/>
        <v>36000</v>
      </c>
      <c r="J321" s="36">
        <f t="shared" si="9"/>
        <v>1.4</v>
      </c>
      <c r="K321" s="48" t="s">
        <v>83</v>
      </c>
      <c r="L321" s="48" t="s">
        <v>83</v>
      </c>
      <c r="M321" s="38">
        <v>41820</v>
      </c>
      <c r="N321" s="48" t="s">
        <v>86</v>
      </c>
      <c r="O321" s="35">
        <v>21000</v>
      </c>
      <c r="P321" s="35"/>
      <c r="Q321" s="35"/>
      <c r="R321" s="35"/>
      <c r="S321" s="41"/>
    </row>
    <row r="322" spans="1:19" s="15" customFormat="1" ht="38.25" customHeight="1" x14ac:dyDescent="0.2">
      <c r="A322" s="43" t="s">
        <v>343</v>
      </c>
      <c r="B322" s="46" t="s">
        <v>47</v>
      </c>
      <c r="C322" s="44" t="s">
        <v>368</v>
      </c>
      <c r="D322" s="47">
        <v>7268</v>
      </c>
      <c r="E322" s="46" t="s">
        <v>394</v>
      </c>
      <c r="F322" s="35">
        <v>25000</v>
      </c>
      <c r="G322" s="40">
        <v>25000</v>
      </c>
      <c r="H322" s="35">
        <v>0</v>
      </c>
      <c r="I322" s="35">
        <f t="shared" ref="I322:I357" si="10">G322+H322</f>
        <v>25000</v>
      </c>
      <c r="J322" s="36">
        <f t="shared" ref="J322:J357" si="11">IF(G322=0,100%,(I322-G322)/G322)</f>
        <v>0</v>
      </c>
      <c r="K322" s="48" t="s">
        <v>83</v>
      </c>
      <c r="L322" s="48" t="s">
        <v>83</v>
      </c>
      <c r="M322" s="38">
        <v>41820</v>
      </c>
      <c r="N322" s="48"/>
      <c r="O322" s="35">
        <v>25000</v>
      </c>
      <c r="P322" s="35"/>
      <c r="Q322" s="35"/>
      <c r="R322" s="35"/>
      <c r="S322" s="41"/>
    </row>
    <row r="323" spans="1:19" s="15" customFormat="1" ht="26.25" customHeight="1" x14ac:dyDescent="0.2">
      <c r="A323" s="43" t="s">
        <v>681</v>
      </c>
      <c r="B323" s="46" t="s">
        <v>687</v>
      </c>
      <c r="C323" s="44" t="s">
        <v>707</v>
      </c>
      <c r="D323" s="47">
        <v>7801</v>
      </c>
      <c r="E323" s="46" t="s">
        <v>697</v>
      </c>
      <c r="F323" s="35">
        <v>11575</v>
      </c>
      <c r="G323" s="40">
        <v>11575</v>
      </c>
      <c r="H323" s="35">
        <v>0</v>
      </c>
      <c r="I323" s="35">
        <f t="shared" si="10"/>
        <v>11575</v>
      </c>
      <c r="J323" s="36">
        <f t="shared" si="11"/>
        <v>0</v>
      </c>
      <c r="K323" s="48" t="s">
        <v>83</v>
      </c>
      <c r="L323" s="48" t="s">
        <v>83</v>
      </c>
      <c r="M323" s="38">
        <v>42369</v>
      </c>
      <c r="N323" s="48"/>
      <c r="O323" s="35">
        <v>11575</v>
      </c>
      <c r="P323" s="35"/>
      <c r="Q323" s="35"/>
      <c r="R323" s="35"/>
      <c r="S323" s="41"/>
    </row>
    <row r="324" spans="1:19" s="15" customFormat="1" ht="26.25" customHeight="1" x14ac:dyDescent="0.2">
      <c r="A324" s="43" t="s">
        <v>246</v>
      </c>
      <c r="B324" s="46" t="s">
        <v>39</v>
      </c>
      <c r="C324" s="44" t="s">
        <v>253</v>
      </c>
      <c r="D324" s="34">
        <v>6865</v>
      </c>
      <c r="E324" s="46" t="s">
        <v>261</v>
      </c>
      <c r="F324" s="35">
        <v>5672</v>
      </c>
      <c r="G324" s="40">
        <v>5672</v>
      </c>
      <c r="H324" s="35">
        <v>0</v>
      </c>
      <c r="I324" s="35">
        <f t="shared" si="10"/>
        <v>5672</v>
      </c>
      <c r="J324" s="36">
        <f t="shared" si="11"/>
        <v>0</v>
      </c>
      <c r="K324" s="48" t="s">
        <v>83</v>
      </c>
      <c r="L324" s="48" t="s">
        <v>85</v>
      </c>
      <c r="M324" s="38">
        <v>41820</v>
      </c>
      <c r="N324" s="48"/>
      <c r="O324" s="35">
        <v>5672</v>
      </c>
      <c r="P324" s="35"/>
      <c r="Q324" s="35"/>
      <c r="R324" s="35"/>
      <c r="S324" s="41"/>
    </row>
    <row r="325" spans="1:19" s="15" customFormat="1" ht="26.25" customHeight="1" x14ac:dyDescent="0.2">
      <c r="A325" s="43" t="s">
        <v>1017</v>
      </c>
      <c r="B325" s="46" t="s">
        <v>39</v>
      </c>
      <c r="C325" s="44" t="s">
        <v>1025</v>
      </c>
      <c r="D325" s="47" t="s">
        <v>1028</v>
      </c>
      <c r="E325" s="46" t="s">
        <v>1031</v>
      </c>
      <c r="F325" s="35">
        <v>1017</v>
      </c>
      <c r="G325" s="35">
        <v>4398</v>
      </c>
      <c r="H325" s="35">
        <v>1017</v>
      </c>
      <c r="I325" s="35">
        <f t="shared" si="10"/>
        <v>5415</v>
      </c>
      <c r="J325" s="36">
        <f t="shared" si="11"/>
        <v>0.23124147339699863</v>
      </c>
      <c r="K325" s="48" t="s">
        <v>83</v>
      </c>
      <c r="L325" s="48" t="s">
        <v>83</v>
      </c>
      <c r="M325" s="38">
        <v>41820</v>
      </c>
      <c r="N325" s="48" t="s">
        <v>86</v>
      </c>
      <c r="O325" s="35">
        <v>1017</v>
      </c>
      <c r="P325" s="35"/>
      <c r="Q325" s="35"/>
      <c r="R325" s="35"/>
      <c r="S325" s="41"/>
    </row>
    <row r="326" spans="1:19" s="15" customFormat="1" ht="26.25" customHeight="1" x14ac:dyDescent="0.2">
      <c r="A326" s="43" t="s">
        <v>938</v>
      </c>
      <c r="B326" s="46" t="s">
        <v>39</v>
      </c>
      <c r="C326" s="44" t="s">
        <v>942</v>
      </c>
      <c r="D326" s="47">
        <v>8242</v>
      </c>
      <c r="E326" s="46" t="s">
        <v>948</v>
      </c>
      <c r="F326" s="35">
        <v>5400</v>
      </c>
      <c r="G326" s="35">
        <v>5400</v>
      </c>
      <c r="H326" s="35">
        <v>0</v>
      </c>
      <c r="I326" s="35">
        <f t="shared" si="10"/>
        <v>5400</v>
      </c>
      <c r="J326" s="36">
        <f t="shared" si="11"/>
        <v>0</v>
      </c>
      <c r="K326" s="48" t="s">
        <v>83</v>
      </c>
      <c r="L326" s="48" t="s">
        <v>83</v>
      </c>
      <c r="M326" s="38">
        <v>41756</v>
      </c>
      <c r="N326" s="48"/>
      <c r="O326" s="35">
        <v>5400</v>
      </c>
      <c r="P326" s="35"/>
      <c r="Q326" s="35"/>
      <c r="R326" s="35"/>
      <c r="S326" s="41"/>
    </row>
    <row r="327" spans="1:19" s="15" customFormat="1" ht="26.25" customHeight="1" x14ac:dyDescent="0.2">
      <c r="A327" s="43" t="s">
        <v>555</v>
      </c>
      <c r="B327" s="46" t="s">
        <v>558</v>
      </c>
      <c r="C327" s="44" t="s">
        <v>569</v>
      </c>
      <c r="D327" s="47">
        <v>7572</v>
      </c>
      <c r="E327" s="46" t="s">
        <v>580</v>
      </c>
      <c r="F327" s="35">
        <v>15000</v>
      </c>
      <c r="G327" s="40">
        <v>15000</v>
      </c>
      <c r="H327" s="35">
        <v>0</v>
      </c>
      <c r="I327" s="35">
        <f t="shared" si="10"/>
        <v>15000</v>
      </c>
      <c r="J327" s="36">
        <f t="shared" si="11"/>
        <v>0</v>
      </c>
      <c r="K327" s="48" t="s">
        <v>83</v>
      </c>
      <c r="L327" s="48" t="s">
        <v>83</v>
      </c>
      <c r="M327" s="38">
        <v>41670</v>
      </c>
      <c r="N327" s="48"/>
      <c r="O327" s="35">
        <v>15000</v>
      </c>
      <c r="P327" s="35"/>
      <c r="Q327" s="35"/>
      <c r="R327" s="35"/>
      <c r="S327" s="41"/>
    </row>
    <row r="328" spans="1:19" s="15" customFormat="1" ht="26.25" customHeight="1" x14ac:dyDescent="0.2">
      <c r="A328" s="43" t="s">
        <v>277</v>
      </c>
      <c r="B328" s="46" t="s">
        <v>46</v>
      </c>
      <c r="C328" s="44" t="s">
        <v>290</v>
      </c>
      <c r="D328" s="34">
        <v>7069</v>
      </c>
      <c r="E328" s="46" t="s">
        <v>306</v>
      </c>
      <c r="F328" s="35">
        <v>39500</v>
      </c>
      <c r="G328" s="40">
        <v>39500</v>
      </c>
      <c r="H328" s="35">
        <v>0</v>
      </c>
      <c r="I328" s="35">
        <f t="shared" si="10"/>
        <v>39500</v>
      </c>
      <c r="J328" s="36">
        <f t="shared" si="11"/>
        <v>0</v>
      </c>
      <c r="K328" s="48" t="s">
        <v>83</v>
      </c>
      <c r="L328" s="48" t="s">
        <v>83</v>
      </c>
      <c r="M328" s="38">
        <v>41820</v>
      </c>
      <c r="N328" s="48"/>
      <c r="O328" s="35">
        <v>39500</v>
      </c>
      <c r="P328" s="35"/>
      <c r="Q328" s="35"/>
      <c r="R328" s="35"/>
      <c r="S328" s="41"/>
    </row>
    <row r="329" spans="1:19" s="15" customFormat="1" ht="26.25" customHeight="1" x14ac:dyDescent="0.2">
      <c r="A329" s="43" t="s">
        <v>772</v>
      </c>
      <c r="B329" s="46" t="s">
        <v>145</v>
      </c>
      <c r="C329" s="44" t="s">
        <v>776</v>
      </c>
      <c r="D329" s="47">
        <v>8056</v>
      </c>
      <c r="E329" s="46" t="s">
        <v>782</v>
      </c>
      <c r="F329" s="35">
        <v>20000</v>
      </c>
      <c r="G329" s="40">
        <v>20000</v>
      </c>
      <c r="H329" s="35">
        <v>0</v>
      </c>
      <c r="I329" s="35">
        <f t="shared" si="10"/>
        <v>20000</v>
      </c>
      <c r="J329" s="36">
        <f t="shared" si="11"/>
        <v>0</v>
      </c>
      <c r="K329" s="48" t="s">
        <v>83</v>
      </c>
      <c r="L329" s="48" t="s">
        <v>83</v>
      </c>
      <c r="M329" s="38">
        <v>41946</v>
      </c>
      <c r="N329" s="48"/>
      <c r="O329" s="35">
        <v>20000</v>
      </c>
      <c r="P329" s="35"/>
      <c r="Q329" s="35"/>
      <c r="R329" s="35"/>
      <c r="S329" s="41"/>
    </row>
    <row r="330" spans="1:19" s="15" customFormat="1" ht="26.25" customHeight="1" x14ac:dyDescent="0.2">
      <c r="A330" s="43" t="s">
        <v>1043</v>
      </c>
      <c r="B330" s="46" t="s">
        <v>145</v>
      </c>
      <c r="C330" s="44" t="s">
        <v>776</v>
      </c>
      <c r="D330" s="47" t="s">
        <v>1047</v>
      </c>
      <c r="E330" s="46" t="s">
        <v>1053</v>
      </c>
      <c r="F330" s="35">
        <v>3600</v>
      </c>
      <c r="G330" s="35">
        <v>20000</v>
      </c>
      <c r="H330" s="35">
        <v>3600</v>
      </c>
      <c r="I330" s="35">
        <f t="shared" si="10"/>
        <v>23600</v>
      </c>
      <c r="J330" s="36">
        <f t="shared" si="11"/>
        <v>0.18</v>
      </c>
      <c r="K330" s="48" t="s">
        <v>83</v>
      </c>
      <c r="L330" s="48" t="s">
        <v>83</v>
      </c>
      <c r="M330" s="38">
        <v>41946</v>
      </c>
      <c r="N330" s="48" t="s">
        <v>86</v>
      </c>
      <c r="O330" s="35">
        <v>3600</v>
      </c>
      <c r="P330" s="35"/>
      <c r="Q330" s="35"/>
      <c r="R330" s="35"/>
      <c r="S330" s="41"/>
    </row>
    <row r="331" spans="1:19" s="15" customFormat="1" ht="26.25" customHeight="1" x14ac:dyDescent="0.2">
      <c r="A331" s="43" t="s">
        <v>551</v>
      </c>
      <c r="B331" s="46" t="s">
        <v>159</v>
      </c>
      <c r="C331" s="44" t="s">
        <v>565</v>
      </c>
      <c r="D331" s="47">
        <v>7439</v>
      </c>
      <c r="E331" s="46" t="s">
        <v>576</v>
      </c>
      <c r="F331" s="35">
        <v>9250</v>
      </c>
      <c r="G331" s="40">
        <v>9250</v>
      </c>
      <c r="H331" s="35">
        <v>0</v>
      </c>
      <c r="I331" s="35">
        <f t="shared" si="10"/>
        <v>9250</v>
      </c>
      <c r="J331" s="36">
        <f t="shared" si="11"/>
        <v>0</v>
      </c>
      <c r="K331" s="48" t="s">
        <v>83</v>
      </c>
      <c r="L331" s="48" t="s">
        <v>83</v>
      </c>
      <c r="M331" s="38">
        <v>41943</v>
      </c>
      <c r="N331" s="48"/>
      <c r="O331" s="35">
        <v>9250</v>
      </c>
      <c r="P331" s="35"/>
      <c r="Q331" s="35"/>
      <c r="R331" s="35"/>
      <c r="S331" s="41"/>
    </row>
    <row r="332" spans="1:19" s="15" customFormat="1" ht="26.25" customHeight="1" x14ac:dyDescent="0.2">
      <c r="A332" s="43" t="s">
        <v>609</v>
      </c>
      <c r="B332" s="46" t="s">
        <v>315</v>
      </c>
      <c r="C332" s="44" t="s">
        <v>613</v>
      </c>
      <c r="D332" s="47">
        <v>7600</v>
      </c>
      <c r="E332" s="46" t="s">
        <v>602</v>
      </c>
      <c r="F332" s="35">
        <v>65000</v>
      </c>
      <c r="G332" s="40">
        <v>5000</v>
      </c>
      <c r="H332" s="35">
        <f>374381+65000</f>
        <v>439381</v>
      </c>
      <c r="I332" s="35">
        <f t="shared" si="10"/>
        <v>444381</v>
      </c>
      <c r="J332" s="36">
        <f t="shared" si="11"/>
        <v>87.876199999999997</v>
      </c>
      <c r="K332" s="48" t="s">
        <v>83</v>
      </c>
      <c r="L332" s="48" t="s">
        <v>83</v>
      </c>
      <c r="M332" s="52" t="s">
        <v>331</v>
      </c>
      <c r="N332" s="48" t="s">
        <v>86</v>
      </c>
      <c r="O332" s="35">
        <v>65000</v>
      </c>
      <c r="P332" s="35"/>
      <c r="Q332" s="35"/>
      <c r="R332" s="35"/>
      <c r="S332" s="41"/>
    </row>
    <row r="333" spans="1:19" s="15" customFormat="1" ht="26.25" customHeight="1" x14ac:dyDescent="0.2">
      <c r="A333" s="43" t="s">
        <v>869</v>
      </c>
      <c r="B333" s="46" t="s">
        <v>315</v>
      </c>
      <c r="C333" s="44" t="s">
        <v>613</v>
      </c>
      <c r="D333" s="47" t="s">
        <v>882</v>
      </c>
      <c r="E333" s="46" t="s">
        <v>602</v>
      </c>
      <c r="F333" s="35">
        <v>25000</v>
      </c>
      <c r="G333" s="35">
        <v>5000</v>
      </c>
      <c r="H333" s="35">
        <f>374381+65000+25000</f>
        <v>464381</v>
      </c>
      <c r="I333" s="35">
        <f t="shared" si="10"/>
        <v>469381</v>
      </c>
      <c r="J333" s="36">
        <f t="shared" si="11"/>
        <v>92.876199999999997</v>
      </c>
      <c r="K333" s="48" t="s">
        <v>83</v>
      </c>
      <c r="L333" s="48" t="s">
        <v>83</v>
      </c>
      <c r="M333" s="52" t="s">
        <v>331</v>
      </c>
      <c r="N333" s="48" t="s">
        <v>86</v>
      </c>
      <c r="O333" s="35">
        <v>25000</v>
      </c>
      <c r="P333" s="35"/>
      <c r="Q333" s="35"/>
      <c r="R333" s="35"/>
      <c r="S333" s="41"/>
    </row>
    <row r="334" spans="1:19" s="15" customFormat="1" ht="18" customHeight="1" x14ac:dyDescent="0.2">
      <c r="A334" s="43" t="s">
        <v>309</v>
      </c>
      <c r="B334" s="46" t="s">
        <v>46</v>
      </c>
      <c r="C334" s="44" t="s">
        <v>318</v>
      </c>
      <c r="D334" s="47">
        <v>6988</v>
      </c>
      <c r="E334" s="46" t="s">
        <v>325</v>
      </c>
      <c r="F334" s="35">
        <v>86064</v>
      </c>
      <c r="G334" s="40">
        <v>86064</v>
      </c>
      <c r="H334" s="35"/>
      <c r="I334" s="35">
        <f t="shared" si="10"/>
        <v>86064</v>
      </c>
      <c r="J334" s="36">
        <f t="shared" si="11"/>
        <v>0</v>
      </c>
      <c r="K334" s="48" t="s">
        <v>83</v>
      </c>
      <c r="L334" s="48" t="s">
        <v>85</v>
      </c>
      <c r="M334" s="38">
        <v>43386</v>
      </c>
      <c r="N334" s="48"/>
      <c r="O334" s="35">
        <v>86064</v>
      </c>
      <c r="P334" s="35"/>
      <c r="Q334" s="35"/>
      <c r="R334" s="35"/>
      <c r="S334" s="41"/>
    </row>
    <row r="335" spans="1:19" s="15" customFormat="1" ht="26.25" customHeight="1" x14ac:dyDescent="0.2">
      <c r="A335" s="43" t="s">
        <v>896</v>
      </c>
      <c r="B335" s="46" t="s">
        <v>46</v>
      </c>
      <c r="C335" s="44" t="s">
        <v>905</v>
      </c>
      <c r="D335" s="47">
        <v>8061</v>
      </c>
      <c r="E335" s="46" t="s">
        <v>913</v>
      </c>
      <c r="F335" s="35">
        <f>35000*3</f>
        <v>105000</v>
      </c>
      <c r="G335" s="35">
        <f>35000*3</f>
        <v>105000</v>
      </c>
      <c r="H335" s="35">
        <v>0</v>
      </c>
      <c r="I335" s="35">
        <f t="shared" si="10"/>
        <v>105000</v>
      </c>
      <c r="J335" s="36">
        <f t="shared" si="11"/>
        <v>0</v>
      </c>
      <c r="K335" s="48" t="s">
        <v>83</v>
      </c>
      <c r="L335" s="48" t="s">
        <v>83</v>
      </c>
      <c r="M335" s="38">
        <v>41820</v>
      </c>
      <c r="N335" s="48" t="s">
        <v>84</v>
      </c>
      <c r="O335" s="35">
        <v>35000</v>
      </c>
      <c r="P335" s="35">
        <v>35000</v>
      </c>
      <c r="Q335" s="35">
        <v>35000</v>
      </c>
      <c r="R335" s="35"/>
      <c r="S335" s="41"/>
    </row>
    <row r="336" spans="1:19" s="15" customFormat="1" ht="26.25" customHeight="1" x14ac:dyDescent="0.2">
      <c r="A336" s="43" t="s">
        <v>553</v>
      </c>
      <c r="B336" s="46" t="s">
        <v>38</v>
      </c>
      <c r="C336" s="44" t="s">
        <v>567</v>
      </c>
      <c r="D336" s="47">
        <v>7457</v>
      </c>
      <c r="E336" s="46" t="s">
        <v>578</v>
      </c>
      <c r="F336" s="35">
        <f>9500*3</f>
        <v>28500</v>
      </c>
      <c r="G336" s="40">
        <f>9500*3</f>
        <v>28500</v>
      </c>
      <c r="H336" s="35">
        <v>0</v>
      </c>
      <c r="I336" s="35">
        <f t="shared" si="10"/>
        <v>28500</v>
      </c>
      <c r="J336" s="36">
        <f t="shared" si="11"/>
        <v>0</v>
      </c>
      <c r="K336" s="48" t="s">
        <v>83</v>
      </c>
      <c r="L336" s="48" t="s">
        <v>83</v>
      </c>
      <c r="M336" s="38">
        <v>41820</v>
      </c>
      <c r="N336" s="48" t="s">
        <v>84</v>
      </c>
      <c r="O336" s="35">
        <v>9500</v>
      </c>
      <c r="P336" s="35">
        <v>9500</v>
      </c>
      <c r="Q336" s="35">
        <v>9500</v>
      </c>
      <c r="R336" s="35"/>
      <c r="S336" s="41"/>
    </row>
    <row r="337" spans="1:19" s="15" customFormat="1" ht="26.25" customHeight="1" x14ac:dyDescent="0.2">
      <c r="A337" s="43" t="s">
        <v>18</v>
      </c>
      <c r="B337" s="46" t="s">
        <v>36</v>
      </c>
      <c r="C337" s="45" t="s">
        <v>49</v>
      </c>
      <c r="D337" s="39">
        <v>6105</v>
      </c>
      <c r="E337" s="46" t="s">
        <v>67</v>
      </c>
      <c r="F337" s="35">
        <f>5038*3</f>
        <v>15114</v>
      </c>
      <c r="G337" s="40">
        <f>5038*3</f>
        <v>15114</v>
      </c>
      <c r="H337" s="35">
        <v>0</v>
      </c>
      <c r="I337" s="49">
        <f t="shared" si="10"/>
        <v>15114</v>
      </c>
      <c r="J337" s="51">
        <f t="shared" si="11"/>
        <v>0</v>
      </c>
      <c r="K337" s="48" t="s">
        <v>83</v>
      </c>
      <c r="L337" s="48" t="s">
        <v>83</v>
      </c>
      <c r="M337" s="38">
        <v>41820</v>
      </c>
      <c r="N337" s="48" t="s">
        <v>84</v>
      </c>
      <c r="O337" s="41">
        <v>5038</v>
      </c>
      <c r="P337" s="41">
        <v>5038</v>
      </c>
      <c r="Q337" s="41">
        <v>5038</v>
      </c>
      <c r="R337" s="41"/>
      <c r="S337" s="41"/>
    </row>
    <row r="338" spans="1:19" s="15" customFormat="1" ht="38.25" customHeight="1" x14ac:dyDescent="0.2">
      <c r="A338" s="43" t="s">
        <v>939</v>
      </c>
      <c r="B338" s="46" t="s">
        <v>47</v>
      </c>
      <c r="C338" s="44" t="s">
        <v>943</v>
      </c>
      <c r="D338" s="47">
        <v>8267</v>
      </c>
      <c r="E338" s="46" t="s">
        <v>949</v>
      </c>
      <c r="F338" s="35">
        <v>15000</v>
      </c>
      <c r="G338" s="35">
        <v>15000</v>
      </c>
      <c r="H338" s="35">
        <v>0</v>
      </c>
      <c r="I338" s="35">
        <f t="shared" si="10"/>
        <v>15000</v>
      </c>
      <c r="J338" s="36">
        <f t="shared" si="11"/>
        <v>0</v>
      </c>
      <c r="K338" s="48" t="s">
        <v>83</v>
      </c>
      <c r="L338" s="48" t="s">
        <v>83</v>
      </c>
      <c r="M338" s="38">
        <v>41820</v>
      </c>
      <c r="N338" s="48"/>
      <c r="O338" s="35">
        <v>15000</v>
      </c>
      <c r="P338" s="35"/>
      <c r="Q338" s="35"/>
      <c r="R338" s="35"/>
      <c r="S338" s="41"/>
    </row>
    <row r="339" spans="1:19" s="15" customFormat="1" ht="26.25" customHeight="1" x14ac:dyDescent="0.2">
      <c r="A339" s="43" t="s">
        <v>418</v>
      </c>
      <c r="B339" s="46" t="s">
        <v>38</v>
      </c>
      <c r="C339" s="44" t="s">
        <v>421</v>
      </c>
      <c r="D339" s="34">
        <v>7208</v>
      </c>
      <c r="E339" s="46" t="s">
        <v>416</v>
      </c>
      <c r="F339" s="35">
        <v>10416</v>
      </c>
      <c r="G339" s="40">
        <v>10416</v>
      </c>
      <c r="H339" s="35">
        <v>0</v>
      </c>
      <c r="I339" s="35">
        <f t="shared" si="10"/>
        <v>10416</v>
      </c>
      <c r="J339" s="36">
        <f t="shared" si="11"/>
        <v>0</v>
      </c>
      <c r="K339" s="48" t="s">
        <v>83</v>
      </c>
      <c r="L339" s="48" t="s">
        <v>85</v>
      </c>
      <c r="M339" s="38">
        <v>41497</v>
      </c>
      <c r="N339" s="48"/>
      <c r="O339" s="35">
        <v>10416</v>
      </c>
      <c r="P339" s="35"/>
      <c r="Q339" s="35"/>
      <c r="R339" s="35"/>
      <c r="S339" s="41"/>
    </row>
    <row r="340" spans="1:19" s="15" customFormat="1" ht="26.25" customHeight="1" x14ac:dyDescent="0.2">
      <c r="A340" s="43" t="s">
        <v>975</v>
      </c>
      <c r="B340" s="46" t="s">
        <v>940</v>
      </c>
      <c r="C340" s="44" t="s">
        <v>980</v>
      </c>
      <c r="D340" s="47">
        <v>8331</v>
      </c>
      <c r="E340" s="46" t="s">
        <v>984</v>
      </c>
      <c r="F340" s="35">
        <v>99000</v>
      </c>
      <c r="G340" s="35">
        <v>99000</v>
      </c>
      <c r="H340" s="35">
        <v>0</v>
      </c>
      <c r="I340" s="35">
        <f t="shared" si="10"/>
        <v>99000</v>
      </c>
      <c r="J340" s="36">
        <f t="shared" si="11"/>
        <v>0</v>
      </c>
      <c r="K340" s="48" t="s">
        <v>83</v>
      </c>
      <c r="L340" s="48" t="s">
        <v>83</v>
      </c>
      <c r="M340" s="38">
        <v>42004</v>
      </c>
      <c r="N340" s="48"/>
      <c r="O340" s="35">
        <v>99000</v>
      </c>
      <c r="P340" s="35"/>
      <c r="Q340" s="35"/>
      <c r="R340" s="35"/>
      <c r="S340" s="41"/>
    </row>
    <row r="341" spans="1:19" s="15" customFormat="1" ht="38.25" customHeight="1" x14ac:dyDescent="0.2">
      <c r="A341" s="43" t="s">
        <v>501</v>
      </c>
      <c r="B341" s="46" t="s">
        <v>47</v>
      </c>
      <c r="C341" s="44" t="s">
        <v>527</v>
      </c>
      <c r="D341" s="47" t="s">
        <v>65</v>
      </c>
      <c r="E341" s="46" t="s">
        <v>528</v>
      </c>
      <c r="F341" s="35">
        <v>40000</v>
      </c>
      <c r="G341" s="40">
        <v>99000</v>
      </c>
      <c r="H341" s="35">
        <f>300000+40000</f>
        <v>340000</v>
      </c>
      <c r="I341" s="35">
        <f t="shared" si="10"/>
        <v>439000</v>
      </c>
      <c r="J341" s="36">
        <f t="shared" si="11"/>
        <v>3.4343434343434343</v>
      </c>
      <c r="K341" s="48" t="s">
        <v>83</v>
      </c>
      <c r="L341" s="48" t="s">
        <v>83</v>
      </c>
      <c r="M341" s="38">
        <v>41820</v>
      </c>
      <c r="N341" s="48" t="s">
        <v>86</v>
      </c>
      <c r="O341" s="35">
        <v>40000</v>
      </c>
      <c r="P341" s="35"/>
      <c r="Q341" s="35"/>
      <c r="R341" s="35"/>
      <c r="S341" s="41"/>
    </row>
    <row r="342" spans="1:19" s="15" customFormat="1" ht="26.25" customHeight="1" x14ac:dyDescent="0.2">
      <c r="A342" s="43" t="s">
        <v>226</v>
      </c>
      <c r="B342" s="46" t="s">
        <v>198</v>
      </c>
      <c r="C342" s="44" t="s">
        <v>231</v>
      </c>
      <c r="D342" s="34">
        <v>6882</v>
      </c>
      <c r="E342" s="46" t="s">
        <v>240</v>
      </c>
      <c r="F342" s="35">
        <f>33565*3</f>
        <v>100695</v>
      </c>
      <c r="G342" s="40">
        <f>33565*3</f>
        <v>100695</v>
      </c>
      <c r="H342" s="35">
        <v>0</v>
      </c>
      <c r="I342" s="35">
        <f t="shared" si="10"/>
        <v>100695</v>
      </c>
      <c r="J342" s="36">
        <f t="shared" si="11"/>
        <v>0</v>
      </c>
      <c r="K342" s="48" t="s">
        <v>83</v>
      </c>
      <c r="L342" s="48" t="s">
        <v>83</v>
      </c>
      <c r="M342" s="38">
        <v>41820</v>
      </c>
      <c r="N342" s="48" t="s">
        <v>84</v>
      </c>
      <c r="O342" s="35">
        <v>33565</v>
      </c>
      <c r="P342" s="35">
        <v>33565</v>
      </c>
      <c r="Q342" s="35">
        <v>33565</v>
      </c>
      <c r="R342" s="35"/>
      <c r="S342" s="41"/>
    </row>
    <row r="343" spans="1:19" s="15" customFormat="1" ht="26.25" customHeight="1" x14ac:dyDescent="0.2">
      <c r="A343" s="43" t="s">
        <v>785</v>
      </c>
      <c r="B343" s="46" t="s">
        <v>46</v>
      </c>
      <c r="C343" s="44" t="s">
        <v>789</v>
      </c>
      <c r="D343" s="47" t="s">
        <v>792</v>
      </c>
      <c r="E343" s="46" t="s">
        <v>799</v>
      </c>
      <c r="F343" s="35">
        <f>30000*3</f>
        <v>90000</v>
      </c>
      <c r="G343" s="40">
        <v>65000</v>
      </c>
      <c r="H343" s="35">
        <f>30000*3</f>
        <v>90000</v>
      </c>
      <c r="I343" s="35">
        <f t="shared" si="10"/>
        <v>155000</v>
      </c>
      <c r="J343" s="36">
        <f t="shared" si="11"/>
        <v>1.3846153846153846</v>
      </c>
      <c r="K343" s="48" t="s">
        <v>83</v>
      </c>
      <c r="L343" s="48" t="s">
        <v>83</v>
      </c>
      <c r="M343" s="38">
        <v>41820</v>
      </c>
      <c r="N343" s="48" t="s">
        <v>84</v>
      </c>
      <c r="O343" s="35">
        <v>30000</v>
      </c>
      <c r="P343" s="35">
        <v>30000</v>
      </c>
      <c r="Q343" s="35">
        <v>30000</v>
      </c>
      <c r="R343" s="35"/>
      <c r="S343" s="41"/>
    </row>
    <row r="344" spans="1:19" s="15" customFormat="1" ht="38.25" customHeight="1" x14ac:dyDescent="0.2">
      <c r="A344" s="43" t="s">
        <v>974</v>
      </c>
      <c r="B344" s="46" t="s">
        <v>940</v>
      </c>
      <c r="C344" s="44" t="s">
        <v>979</v>
      </c>
      <c r="D344" s="47">
        <v>8329</v>
      </c>
      <c r="E344" s="46" t="s">
        <v>982</v>
      </c>
      <c r="F344" s="35">
        <v>99000</v>
      </c>
      <c r="G344" s="35">
        <v>99000</v>
      </c>
      <c r="H344" s="35">
        <v>0</v>
      </c>
      <c r="I344" s="35">
        <f t="shared" si="10"/>
        <v>99000</v>
      </c>
      <c r="J344" s="36">
        <f t="shared" si="11"/>
        <v>0</v>
      </c>
      <c r="K344" s="48" t="s">
        <v>83</v>
      </c>
      <c r="L344" s="48" t="s">
        <v>83</v>
      </c>
      <c r="M344" s="38">
        <v>42004</v>
      </c>
      <c r="N344" s="48"/>
      <c r="O344" s="35">
        <v>99000</v>
      </c>
      <c r="P344" s="35"/>
      <c r="Q344" s="35"/>
      <c r="R344" s="35"/>
      <c r="S344" s="41"/>
    </row>
    <row r="345" spans="1:19" s="15" customFormat="1" ht="26.25" customHeight="1" x14ac:dyDescent="0.2">
      <c r="A345" s="43" t="s">
        <v>1004</v>
      </c>
      <c r="B345" s="46" t="s">
        <v>41</v>
      </c>
      <c r="C345" s="44" t="s">
        <v>1009</v>
      </c>
      <c r="D345" s="47">
        <v>8377</v>
      </c>
      <c r="E345" s="46" t="s">
        <v>1014</v>
      </c>
      <c r="F345" s="35">
        <v>8440</v>
      </c>
      <c r="G345" s="35">
        <v>8440</v>
      </c>
      <c r="H345" s="35">
        <v>0</v>
      </c>
      <c r="I345" s="35">
        <f t="shared" si="10"/>
        <v>8440</v>
      </c>
      <c r="J345" s="36">
        <f t="shared" si="11"/>
        <v>0</v>
      </c>
      <c r="K345" s="48" t="s">
        <v>83</v>
      </c>
      <c r="L345" s="48" t="s">
        <v>85</v>
      </c>
      <c r="M345" s="38">
        <v>41820</v>
      </c>
      <c r="N345" s="48"/>
      <c r="O345" s="35">
        <v>8440</v>
      </c>
      <c r="P345" s="35"/>
      <c r="Q345" s="35"/>
      <c r="R345" s="35"/>
      <c r="S345" s="41"/>
    </row>
    <row r="346" spans="1:19" s="15" customFormat="1" ht="26.25" customHeight="1" x14ac:dyDescent="0.2">
      <c r="A346" s="43" t="s">
        <v>403</v>
      </c>
      <c r="B346" s="46" t="s">
        <v>315</v>
      </c>
      <c r="C346" s="44" t="s">
        <v>408</v>
      </c>
      <c r="D346" s="34">
        <v>7091</v>
      </c>
      <c r="E346" s="46" t="s">
        <v>397</v>
      </c>
      <c r="F346" s="35">
        <v>45000</v>
      </c>
      <c r="G346" s="40">
        <v>45000</v>
      </c>
      <c r="H346" s="35">
        <v>0</v>
      </c>
      <c r="I346" s="35">
        <f t="shared" si="10"/>
        <v>45000</v>
      </c>
      <c r="J346" s="36">
        <f t="shared" si="11"/>
        <v>0</v>
      </c>
      <c r="K346" s="48" t="s">
        <v>83</v>
      </c>
      <c r="L346" s="48" t="s">
        <v>83</v>
      </c>
      <c r="M346" s="38">
        <v>42338</v>
      </c>
      <c r="N346" s="48"/>
      <c r="O346" s="35">
        <v>45000</v>
      </c>
      <c r="P346" s="35"/>
      <c r="Q346" s="35"/>
      <c r="R346" s="35"/>
      <c r="S346" s="41"/>
    </row>
    <row r="347" spans="1:19" s="15" customFormat="1" ht="26.25" customHeight="1" x14ac:dyDescent="0.2">
      <c r="A347" s="43" t="s">
        <v>417</v>
      </c>
      <c r="B347" s="46" t="s">
        <v>38</v>
      </c>
      <c r="C347" s="44" t="s">
        <v>420</v>
      </c>
      <c r="D347" s="34">
        <v>7204</v>
      </c>
      <c r="E347" s="46" t="s">
        <v>416</v>
      </c>
      <c r="F347" s="35">
        <v>10500</v>
      </c>
      <c r="G347" s="40">
        <v>10500</v>
      </c>
      <c r="H347" s="35">
        <v>0</v>
      </c>
      <c r="I347" s="35">
        <f t="shared" si="10"/>
        <v>10500</v>
      </c>
      <c r="J347" s="36">
        <f t="shared" si="11"/>
        <v>0</v>
      </c>
      <c r="K347" s="48" t="s">
        <v>83</v>
      </c>
      <c r="L347" s="48" t="s">
        <v>85</v>
      </c>
      <c r="M347" s="38">
        <v>41497</v>
      </c>
      <c r="N347" s="48"/>
      <c r="O347" s="35">
        <v>10500</v>
      </c>
      <c r="P347" s="35"/>
      <c r="Q347" s="35"/>
      <c r="R347" s="35"/>
      <c r="S347" s="41"/>
    </row>
    <row r="348" spans="1:19" s="15" customFormat="1" ht="26.25" customHeight="1" x14ac:dyDescent="0.2">
      <c r="A348" s="43" t="s">
        <v>458</v>
      </c>
      <c r="B348" s="46" t="s">
        <v>315</v>
      </c>
      <c r="C348" s="44" t="s">
        <v>469</v>
      </c>
      <c r="D348" s="47" t="s">
        <v>473</v>
      </c>
      <c r="E348" s="46" t="s">
        <v>461</v>
      </c>
      <c r="F348" s="35">
        <v>25000</v>
      </c>
      <c r="G348" s="40">
        <v>5000</v>
      </c>
      <c r="H348" s="35">
        <f>30000+25000</f>
        <v>55000</v>
      </c>
      <c r="I348" s="35">
        <f t="shared" si="10"/>
        <v>60000</v>
      </c>
      <c r="J348" s="36">
        <f t="shared" si="11"/>
        <v>11</v>
      </c>
      <c r="K348" s="48" t="s">
        <v>83</v>
      </c>
      <c r="L348" s="48" t="s">
        <v>83</v>
      </c>
      <c r="M348" s="38">
        <v>41548</v>
      </c>
      <c r="N348" s="48" t="s">
        <v>86</v>
      </c>
      <c r="O348" s="35">
        <v>25000</v>
      </c>
      <c r="P348" s="35"/>
      <c r="Q348" s="35"/>
      <c r="R348" s="35"/>
      <c r="S348" s="41"/>
    </row>
    <row r="349" spans="1:19" s="15" customFormat="1" ht="26.25" customHeight="1" x14ac:dyDescent="0.2">
      <c r="A349" s="43" t="s">
        <v>786</v>
      </c>
      <c r="B349" s="46" t="s">
        <v>94</v>
      </c>
      <c r="C349" s="44" t="s">
        <v>790</v>
      </c>
      <c r="D349" s="47">
        <v>7926</v>
      </c>
      <c r="E349" s="46" t="s">
        <v>797</v>
      </c>
      <c r="F349" s="35">
        <f>75000+25000</f>
        <v>100000</v>
      </c>
      <c r="G349" s="40">
        <f>75000+25000</f>
        <v>100000</v>
      </c>
      <c r="H349" s="35">
        <v>0</v>
      </c>
      <c r="I349" s="35">
        <f t="shared" si="10"/>
        <v>100000</v>
      </c>
      <c r="J349" s="36">
        <f t="shared" si="11"/>
        <v>0</v>
      </c>
      <c r="K349" s="48" t="s">
        <v>83</v>
      </c>
      <c r="L349" s="48" t="s">
        <v>83</v>
      </c>
      <c r="M349" s="38">
        <v>42917</v>
      </c>
      <c r="N349" s="48" t="s">
        <v>84</v>
      </c>
      <c r="O349" s="35">
        <v>75000</v>
      </c>
      <c r="P349" s="35"/>
      <c r="Q349" s="35"/>
      <c r="R349" s="35"/>
      <c r="S349" s="41">
        <v>25000</v>
      </c>
    </row>
    <row r="350" spans="1:19" s="15" customFormat="1" ht="26.25" customHeight="1" x14ac:dyDescent="0.2">
      <c r="A350" s="43" t="s">
        <v>347</v>
      </c>
      <c r="B350" s="46" t="s">
        <v>47</v>
      </c>
      <c r="C350" s="44" t="s">
        <v>371</v>
      </c>
      <c r="D350" s="47">
        <v>7269</v>
      </c>
      <c r="E350" s="46" t="s">
        <v>338</v>
      </c>
      <c r="F350" s="35">
        <v>25000</v>
      </c>
      <c r="G350" s="40">
        <v>25000</v>
      </c>
      <c r="H350" s="35">
        <v>0</v>
      </c>
      <c r="I350" s="35">
        <f t="shared" si="10"/>
        <v>25000</v>
      </c>
      <c r="J350" s="36">
        <f t="shared" si="11"/>
        <v>0</v>
      </c>
      <c r="K350" s="48" t="s">
        <v>83</v>
      </c>
      <c r="L350" s="48" t="s">
        <v>83</v>
      </c>
      <c r="M350" s="38">
        <v>41820</v>
      </c>
      <c r="N350" s="48"/>
      <c r="O350" s="35">
        <v>25000</v>
      </c>
      <c r="P350" s="35"/>
      <c r="Q350" s="35"/>
      <c r="R350" s="35"/>
      <c r="S350" s="41"/>
    </row>
    <row r="351" spans="1:19" s="15" customFormat="1" ht="38.25" customHeight="1" x14ac:dyDescent="0.2">
      <c r="A351" s="43" t="s">
        <v>345</v>
      </c>
      <c r="B351" s="46" t="s">
        <v>47</v>
      </c>
      <c r="C351" s="44" t="s">
        <v>370</v>
      </c>
      <c r="D351" s="47">
        <v>7248</v>
      </c>
      <c r="E351" s="46" t="s">
        <v>393</v>
      </c>
      <c r="F351" s="35">
        <v>15000</v>
      </c>
      <c r="G351" s="40">
        <v>15000</v>
      </c>
      <c r="H351" s="35">
        <v>0</v>
      </c>
      <c r="I351" s="35">
        <f t="shared" si="10"/>
        <v>15000</v>
      </c>
      <c r="J351" s="36">
        <f t="shared" si="11"/>
        <v>0</v>
      </c>
      <c r="K351" s="48" t="s">
        <v>83</v>
      </c>
      <c r="L351" s="48" t="s">
        <v>83</v>
      </c>
      <c r="M351" s="38">
        <v>41820</v>
      </c>
      <c r="N351" s="48"/>
      <c r="O351" s="35">
        <v>15000</v>
      </c>
      <c r="P351" s="35"/>
      <c r="Q351" s="35"/>
      <c r="R351" s="35"/>
      <c r="S351" s="41"/>
    </row>
    <row r="352" spans="1:19" s="15" customFormat="1" ht="26.25" customHeight="1" x14ac:dyDescent="0.2">
      <c r="A352" s="43" t="s">
        <v>346</v>
      </c>
      <c r="B352" s="46" t="s">
        <v>47</v>
      </c>
      <c r="C352" s="44" t="s">
        <v>370</v>
      </c>
      <c r="D352" s="47">
        <v>7247</v>
      </c>
      <c r="E352" s="46" t="s">
        <v>338</v>
      </c>
      <c r="F352" s="35">
        <v>15000</v>
      </c>
      <c r="G352" s="40">
        <v>15000</v>
      </c>
      <c r="H352" s="35">
        <v>0</v>
      </c>
      <c r="I352" s="35">
        <f t="shared" si="10"/>
        <v>15000</v>
      </c>
      <c r="J352" s="36">
        <f t="shared" si="11"/>
        <v>0</v>
      </c>
      <c r="K352" s="48" t="s">
        <v>83</v>
      </c>
      <c r="L352" s="48" t="s">
        <v>83</v>
      </c>
      <c r="M352" s="38">
        <v>41820</v>
      </c>
      <c r="N352" s="48"/>
      <c r="O352" s="35">
        <v>15000</v>
      </c>
      <c r="P352" s="35"/>
      <c r="Q352" s="35"/>
      <c r="R352" s="35"/>
      <c r="S352" s="41"/>
    </row>
    <row r="353" spans="1:19" s="15" customFormat="1" ht="18" customHeight="1" x14ac:dyDescent="0.2">
      <c r="A353" s="43" t="s">
        <v>1040</v>
      </c>
      <c r="B353" s="46" t="s">
        <v>94</v>
      </c>
      <c r="C353" s="44" t="s">
        <v>1045</v>
      </c>
      <c r="D353" s="47">
        <v>8446</v>
      </c>
      <c r="E353" s="46" t="s">
        <v>1050</v>
      </c>
      <c r="F353" s="35">
        <f>25000*3</f>
        <v>75000</v>
      </c>
      <c r="G353" s="35">
        <f>25000*3</f>
        <v>75000</v>
      </c>
      <c r="H353" s="35">
        <v>0</v>
      </c>
      <c r="I353" s="35">
        <f t="shared" si="10"/>
        <v>75000</v>
      </c>
      <c r="J353" s="36">
        <f t="shared" si="11"/>
        <v>0</v>
      </c>
      <c r="K353" s="48" t="s">
        <v>83</v>
      </c>
      <c r="L353" s="48" t="s">
        <v>83</v>
      </c>
      <c r="M353" s="38">
        <v>42185</v>
      </c>
      <c r="N353" s="48" t="s">
        <v>84</v>
      </c>
      <c r="O353" s="35">
        <v>25000</v>
      </c>
      <c r="P353" s="35">
        <v>25000</v>
      </c>
      <c r="Q353" s="35">
        <v>25000</v>
      </c>
      <c r="R353" s="35"/>
      <c r="S353" s="41"/>
    </row>
    <row r="354" spans="1:19" s="15" customFormat="1" ht="26.25" customHeight="1" x14ac:dyDescent="0.2">
      <c r="A354" s="43" t="s">
        <v>314</v>
      </c>
      <c r="B354" s="46" t="s">
        <v>159</v>
      </c>
      <c r="C354" s="44" t="s">
        <v>322</v>
      </c>
      <c r="D354" s="47">
        <v>7110</v>
      </c>
      <c r="E354" s="46" t="s">
        <v>329</v>
      </c>
      <c r="F354" s="35">
        <v>99000</v>
      </c>
      <c r="G354" s="40">
        <v>99000</v>
      </c>
      <c r="H354" s="35">
        <v>0</v>
      </c>
      <c r="I354" s="35">
        <f t="shared" si="10"/>
        <v>99000</v>
      </c>
      <c r="J354" s="36">
        <f t="shared" si="11"/>
        <v>0</v>
      </c>
      <c r="K354" s="48" t="s">
        <v>83</v>
      </c>
      <c r="L354" s="48" t="s">
        <v>83</v>
      </c>
      <c r="M354" s="38">
        <v>41804</v>
      </c>
      <c r="N354" s="48"/>
      <c r="O354" s="35">
        <v>99000</v>
      </c>
      <c r="P354" s="35"/>
      <c r="Q354" s="35"/>
      <c r="R354" s="35"/>
      <c r="S354" s="41"/>
    </row>
    <row r="355" spans="1:19" s="15" customFormat="1" ht="26.25" customHeight="1" x14ac:dyDescent="0.2">
      <c r="A355" s="43" t="s">
        <v>721</v>
      </c>
      <c r="B355" s="46" t="s">
        <v>159</v>
      </c>
      <c r="C355" s="44" t="s">
        <v>734</v>
      </c>
      <c r="D355" s="47">
        <v>7873</v>
      </c>
      <c r="E355" s="46" t="s">
        <v>743</v>
      </c>
      <c r="F355" s="35">
        <v>35000</v>
      </c>
      <c r="G355" s="40">
        <v>35000</v>
      </c>
      <c r="H355" s="35">
        <v>0</v>
      </c>
      <c r="I355" s="35">
        <f t="shared" si="10"/>
        <v>35000</v>
      </c>
      <c r="J355" s="36">
        <f t="shared" si="11"/>
        <v>0</v>
      </c>
      <c r="K355" s="48" t="s">
        <v>83</v>
      </c>
      <c r="L355" s="48" t="s">
        <v>83</v>
      </c>
      <c r="M355" s="38">
        <v>41820</v>
      </c>
      <c r="N355" s="48"/>
      <c r="O355" s="35">
        <v>35000</v>
      </c>
      <c r="P355" s="35"/>
      <c r="Q355" s="35"/>
      <c r="R355" s="35"/>
      <c r="S355" s="41"/>
    </row>
    <row r="356" spans="1:19" s="15" customFormat="1" ht="26.25" customHeight="1" x14ac:dyDescent="0.2">
      <c r="A356" s="43" t="s">
        <v>116</v>
      </c>
      <c r="B356" s="46" t="s">
        <v>42</v>
      </c>
      <c r="C356" s="44" t="s">
        <v>127</v>
      </c>
      <c r="D356" s="47">
        <v>6389</v>
      </c>
      <c r="E356" s="46" t="s">
        <v>136</v>
      </c>
      <c r="F356" s="49">
        <v>55000</v>
      </c>
      <c r="G356" s="50">
        <v>55000</v>
      </c>
      <c r="H356" s="49">
        <v>0</v>
      </c>
      <c r="I356" s="49">
        <f t="shared" si="10"/>
        <v>55000</v>
      </c>
      <c r="J356" s="51">
        <f t="shared" si="11"/>
        <v>0</v>
      </c>
      <c r="K356" s="48" t="s">
        <v>83</v>
      </c>
      <c r="L356" s="48" t="s">
        <v>83</v>
      </c>
      <c r="M356" s="52">
        <v>41820</v>
      </c>
      <c r="N356" s="48"/>
      <c r="O356" s="41">
        <v>55000</v>
      </c>
      <c r="P356" s="41"/>
      <c r="Q356" s="41"/>
      <c r="R356" s="41"/>
      <c r="S356" s="41"/>
    </row>
    <row r="357" spans="1:19" s="15" customFormat="1" ht="26.25" customHeight="1" x14ac:dyDescent="0.2">
      <c r="A357" s="43" t="s">
        <v>864</v>
      </c>
      <c r="B357" s="46" t="s">
        <v>42</v>
      </c>
      <c r="C357" s="44" t="s">
        <v>127</v>
      </c>
      <c r="D357" s="47">
        <v>7964</v>
      </c>
      <c r="E357" s="46" t="s">
        <v>870</v>
      </c>
      <c r="F357" s="35">
        <v>96000</v>
      </c>
      <c r="G357" s="35">
        <v>96000</v>
      </c>
      <c r="H357" s="35">
        <v>0</v>
      </c>
      <c r="I357" s="35">
        <f t="shared" si="10"/>
        <v>96000</v>
      </c>
      <c r="J357" s="36">
        <f t="shared" si="11"/>
        <v>0</v>
      </c>
      <c r="K357" s="48" t="s">
        <v>83</v>
      </c>
      <c r="L357" s="48" t="s">
        <v>83</v>
      </c>
      <c r="M357" s="38">
        <v>42004</v>
      </c>
      <c r="N357" s="48"/>
      <c r="O357" s="35">
        <v>96000</v>
      </c>
      <c r="P357" s="35"/>
      <c r="Q357" s="35"/>
      <c r="R357" s="35"/>
      <c r="S357" s="41"/>
    </row>
    <row r="358" spans="1:19" s="15" customFormat="1" ht="18" customHeight="1" x14ac:dyDescent="0.2">
      <c r="A358" s="43" t="s">
        <v>363</v>
      </c>
      <c r="B358" s="46" t="s">
        <v>367</v>
      </c>
      <c r="C358" s="44"/>
      <c r="D358" s="47"/>
      <c r="E358" s="46"/>
      <c r="F358" s="35"/>
      <c r="G358" s="40"/>
      <c r="H358" s="35"/>
      <c r="I358" s="35"/>
      <c r="J358" s="36"/>
      <c r="K358" s="48"/>
      <c r="L358" s="48"/>
      <c r="M358" s="38"/>
      <c r="N358" s="48"/>
      <c r="O358" s="35"/>
      <c r="P358" s="35"/>
      <c r="Q358" s="35"/>
      <c r="R358" s="35"/>
      <c r="S358" s="41"/>
    </row>
    <row r="359" spans="1:19" s="15" customFormat="1" ht="18" customHeight="1" x14ac:dyDescent="0.2">
      <c r="A359" s="43" t="s">
        <v>802</v>
      </c>
      <c r="B359" s="46" t="s">
        <v>367</v>
      </c>
      <c r="C359" s="44"/>
      <c r="D359" s="47"/>
      <c r="E359" s="46"/>
      <c r="F359" s="35"/>
      <c r="G359" s="40"/>
      <c r="H359" s="35"/>
      <c r="I359" s="35"/>
      <c r="J359" s="36"/>
      <c r="K359" s="48"/>
      <c r="L359" s="48"/>
      <c r="M359" s="38"/>
      <c r="N359" s="48"/>
      <c r="O359" s="35"/>
      <c r="P359" s="35"/>
      <c r="Q359" s="35"/>
      <c r="R359" s="35"/>
      <c r="S359" s="41"/>
    </row>
    <row r="360" spans="1:19" s="15" customFormat="1" ht="26.25" customHeight="1" x14ac:dyDescent="0.2">
      <c r="A360" s="43"/>
      <c r="B360" s="46"/>
      <c r="C360" s="44"/>
      <c r="D360" s="34"/>
      <c r="E360" s="46"/>
      <c r="F360" s="35"/>
      <c r="G360" s="40"/>
      <c r="H360" s="35"/>
      <c r="I360" s="35"/>
      <c r="J360" s="36"/>
      <c r="K360" s="37"/>
      <c r="L360" s="37"/>
      <c r="M360" s="38"/>
      <c r="N360" s="37"/>
      <c r="O360" s="35"/>
      <c r="P360" s="35"/>
      <c r="Q360" s="35"/>
      <c r="R360" s="35"/>
      <c r="S360" s="41"/>
    </row>
    <row r="361" spans="1:19" s="20" customFormat="1" ht="26.25" customHeight="1" x14ac:dyDescent="0.2">
      <c r="A361" s="14"/>
      <c r="B361" s="27"/>
      <c r="C361" s="33"/>
      <c r="D361" s="33"/>
      <c r="E361" s="11" t="s">
        <v>4</v>
      </c>
      <c r="F361" s="26">
        <f>SUM(F2:F360)</f>
        <v>18803193</v>
      </c>
      <c r="G361" s="26">
        <f>SUM(G2:G360)</f>
        <v>19279840</v>
      </c>
      <c r="H361" s="26">
        <f>SUM(H2:H360)</f>
        <v>4871492</v>
      </c>
      <c r="I361" s="26">
        <f>SUM(I2:I360)</f>
        <v>24151332</v>
      </c>
      <c r="J361" s="16"/>
      <c r="K361" s="17"/>
      <c r="L361" s="17"/>
      <c r="M361" s="18"/>
      <c r="N361" s="17"/>
      <c r="O361" s="26">
        <f>SUM(O2:O360)</f>
        <v>11993363</v>
      </c>
      <c r="P361" s="26">
        <f>SUM(P2:P360)</f>
        <v>3512310</v>
      </c>
      <c r="Q361" s="26">
        <f>SUM(Q2:Q360)</f>
        <v>2888790</v>
      </c>
      <c r="R361" s="26">
        <f>SUM(R2:R360)</f>
        <v>383730</v>
      </c>
      <c r="S361" s="26">
        <f>SUM(S2:S360)</f>
        <v>25000</v>
      </c>
    </row>
    <row r="362" spans="1:19" s="20" customFormat="1" ht="26.25" customHeight="1" x14ac:dyDescent="0.2">
      <c r="A362" s="21"/>
      <c r="B362" s="22"/>
      <c r="C362" s="23"/>
      <c r="D362" s="23"/>
      <c r="E362" s="22"/>
      <c r="F362" s="19"/>
      <c r="G362" s="19"/>
      <c r="H362" s="19"/>
      <c r="J362" s="24"/>
      <c r="K362" s="25"/>
      <c r="L362" s="25"/>
      <c r="N362" s="25"/>
    </row>
    <row r="363" spans="1:19" ht="26.25" customHeight="1" x14ac:dyDescent="0.2">
      <c r="A363" s="30"/>
      <c r="B363" s="31"/>
      <c r="C363" s="4"/>
      <c r="F363" s="19"/>
      <c r="G363" s="19"/>
      <c r="H363" s="19"/>
      <c r="I363" s="20"/>
      <c r="P363" s="28"/>
    </row>
    <row r="364" spans="1:19" x14ac:dyDescent="0.2">
      <c r="C364" s="4"/>
    </row>
    <row r="365" spans="1:19" x14ac:dyDescent="0.2">
      <c r="C365" s="4"/>
      <c r="P365" s="28"/>
    </row>
    <row r="366" spans="1:19" x14ac:dyDescent="0.2">
      <c r="C366" s="4"/>
    </row>
    <row r="367" spans="1:19" x14ac:dyDescent="0.2">
      <c r="C367" s="4"/>
      <c r="G367" s="32"/>
      <c r="P367" s="29"/>
    </row>
    <row r="368" spans="1:19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  <row r="382" spans="3:3" x14ac:dyDescent="0.2">
      <c r="C382" s="4"/>
    </row>
    <row r="383" spans="3:3" x14ac:dyDescent="0.2">
      <c r="C383" s="4"/>
    </row>
    <row r="384" spans="3:3" x14ac:dyDescent="0.2">
      <c r="C384" s="4"/>
    </row>
    <row r="385" spans="3:3" x14ac:dyDescent="0.2">
      <c r="C385" s="4"/>
    </row>
    <row r="386" spans="3:3" x14ac:dyDescent="0.2">
      <c r="C386" s="4"/>
    </row>
    <row r="387" spans="3:3" x14ac:dyDescent="0.2">
      <c r="C387" s="4"/>
    </row>
    <row r="388" spans="3:3" x14ac:dyDescent="0.2">
      <c r="C388" s="4"/>
    </row>
    <row r="389" spans="3:3" x14ac:dyDescent="0.2">
      <c r="C389" s="4"/>
    </row>
    <row r="390" spans="3:3" x14ac:dyDescent="0.2">
      <c r="C390" s="4"/>
    </row>
    <row r="391" spans="3:3" x14ac:dyDescent="0.2">
      <c r="C391" s="4"/>
    </row>
    <row r="392" spans="3:3" x14ac:dyDescent="0.2">
      <c r="C392" s="4"/>
    </row>
    <row r="393" spans="3:3" x14ac:dyDescent="0.2">
      <c r="C393" s="4"/>
    </row>
    <row r="394" spans="3:3" x14ac:dyDescent="0.2">
      <c r="C394" s="4"/>
    </row>
    <row r="395" spans="3:3" x14ac:dyDescent="0.2">
      <c r="C395" s="4"/>
    </row>
    <row r="396" spans="3:3" x14ac:dyDescent="0.2">
      <c r="C396" s="4"/>
    </row>
    <row r="397" spans="3:3" x14ac:dyDescent="0.2">
      <c r="C397" s="4"/>
    </row>
    <row r="398" spans="3:3" x14ac:dyDescent="0.2">
      <c r="C398" s="4"/>
    </row>
    <row r="399" spans="3:3" x14ac:dyDescent="0.2">
      <c r="C399" s="4"/>
    </row>
    <row r="400" spans="3:3" x14ac:dyDescent="0.2">
      <c r="C400" s="4"/>
    </row>
    <row r="401" spans="3:3" x14ac:dyDescent="0.2">
      <c r="C401" s="4"/>
    </row>
    <row r="402" spans="3:3" x14ac:dyDescent="0.2">
      <c r="C402" s="4"/>
    </row>
    <row r="403" spans="3:3" x14ac:dyDescent="0.2">
      <c r="C403" s="4"/>
    </row>
    <row r="404" spans="3:3" x14ac:dyDescent="0.2">
      <c r="C404" s="4"/>
    </row>
    <row r="405" spans="3:3" x14ac:dyDescent="0.2">
      <c r="C405" s="4"/>
    </row>
    <row r="406" spans="3:3" x14ac:dyDescent="0.2">
      <c r="C406" s="4"/>
    </row>
    <row r="407" spans="3:3" x14ac:dyDescent="0.2">
      <c r="C407" s="4"/>
    </row>
    <row r="408" spans="3:3" x14ac:dyDescent="0.2">
      <c r="C408" s="4"/>
    </row>
    <row r="409" spans="3:3" x14ac:dyDescent="0.2">
      <c r="C409" s="4"/>
    </row>
    <row r="410" spans="3:3" x14ac:dyDescent="0.2">
      <c r="C410" s="4"/>
    </row>
    <row r="411" spans="3:3" x14ac:dyDescent="0.2">
      <c r="C411" s="4"/>
    </row>
    <row r="412" spans="3:3" x14ac:dyDescent="0.2">
      <c r="C412" s="4"/>
    </row>
    <row r="413" spans="3:3" x14ac:dyDescent="0.2">
      <c r="C413" s="4"/>
    </row>
    <row r="414" spans="3:3" x14ac:dyDescent="0.2">
      <c r="C414" s="4"/>
    </row>
    <row r="415" spans="3:3" x14ac:dyDescent="0.2">
      <c r="C415" s="4"/>
    </row>
    <row r="416" spans="3:3" x14ac:dyDescent="0.2">
      <c r="C416" s="4"/>
    </row>
    <row r="417" spans="3:3" x14ac:dyDescent="0.2">
      <c r="C417" s="4"/>
    </row>
  </sheetData>
  <printOptions horizontalCentered="1"/>
  <pageMargins left="0.25" right="0.25" top="0.85" bottom="0.25" header="0.26" footer="0.31"/>
  <pageSetup paperSize="5" scale="65" orientation="landscape" r:id="rId1"/>
  <headerFooter alignWithMargins="0">
    <oddHeader>&amp;C&amp;"Arial,Bold"&amp;11 1153 FY2014
SUMMARY REPORT
BY VENDOR
As of June 30, 2014&amp;RRun Date: &amp;D      &amp;T     
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5"/>
  <sheetViews>
    <sheetView tabSelected="1" zoomScaleNormal="100" workbookViewId="0">
      <pane xSplit="2" ySplit="1" topLeftCell="C352" activePane="bottomRight" state="frozen"/>
      <selection pane="topRight" activeCell="B1" sqref="B1"/>
      <selection pane="bottomLeft" activeCell="A2" sqref="A2"/>
      <selection pane="bottomRight" activeCell="F370" sqref="F370"/>
    </sheetView>
  </sheetViews>
  <sheetFormatPr defaultRowHeight="12.75" x14ac:dyDescent="0.2"/>
  <cols>
    <col min="1" max="1" width="3" hidden="1" customWidth="1"/>
    <col min="2" max="2" width="8.7109375" style="12" customWidth="1"/>
    <col min="3" max="3" width="25.7109375" style="2" customWidth="1"/>
    <col min="4" max="4" width="23.42578125" customWidth="1"/>
    <col min="5" max="5" width="12.7109375" style="4" customWidth="1"/>
    <col min="6" max="6" width="58.42578125" style="2" customWidth="1"/>
    <col min="7" max="7" width="11.7109375" style="3" customWidth="1"/>
    <col min="8" max="8" width="13" style="3" customWidth="1"/>
  </cols>
  <sheetData>
    <row r="1" spans="1:8" ht="24" x14ac:dyDescent="0.2">
      <c r="B1" s="13" t="s">
        <v>0</v>
      </c>
      <c r="C1" s="10" t="s">
        <v>6</v>
      </c>
      <c r="D1" s="10" t="s">
        <v>7</v>
      </c>
      <c r="E1" s="10" t="s">
        <v>13</v>
      </c>
      <c r="F1" s="10" t="s">
        <v>8</v>
      </c>
      <c r="G1" s="6" t="s">
        <v>9</v>
      </c>
      <c r="H1" s="6" t="s">
        <v>10</v>
      </c>
    </row>
    <row r="2" spans="1:8" ht="26.1" customHeight="1" x14ac:dyDescent="0.2">
      <c r="A2" s="67" t="s">
        <v>1098</v>
      </c>
      <c r="B2" s="43" t="s">
        <v>1017</v>
      </c>
      <c r="C2" s="46" t="s">
        <v>39</v>
      </c>
      <c r="D2" s="44" t="s">
        <v>1025</v>
      </c>
      <c r="E2" s="47" t="s">
        <v>1028</v>
      </c>
      <c r="F2" s="46" t="s">
        <v>1031</v>
      </c>
      <c r="G2" s="35">
        <v>1017</v>
      </c>
      <c r="H2" s="35">
        <v>4398</v>
      </c>
    </row>
    <row r="3" spans="1:8" s="15" customFormat="1" ht="26.1" customHeight="1" x14ac:dyDescent="0.2">
      <c r="A3" s="67" t="s">
        <v>1098</v>
      </c>
      <c r="B3" s="43" t="s">
        <v>1041</v>
      </c>
      <c r="C3" s="46" t="s">
        <v>39</v>
      </c>
      <c r="D3" s="44" t="s">
        <v>631</v>
      </c>
      <c r="E3" s="47" t="s">
        <v>1046</v>
      </c>
      <c r="F3" s="46" t="s">
        <v>1051</v>
      </c>
      <c r="G3" s="35">
        <v>1500</v>
      </c>
      <c r="H3" s="35">
        <v>41040</v>
      </c>
    </row>
    <row r="4" spans="1:8" s="15" customFormat="1" ht="26.1" customHeight="1" x14ac:dyDescent="0.2">
      <c r="A4" s="67" t="s">
        <v>1098</v>
      </c>
      <c r="B4" s="43" t="s">
        <v>885</v>
      </c>
      <c r="C4" s="46" t="s">
        <v>145</v>
      </c>
      <c r="D4" s="44" t="s">
        <v>889</v>
      </c>
      <c r="E4" s="47">
        <v>8153</v>
      </c>
      <c r="F4" s="46" t="s">
        <v>894</v>
      </c>
      <c r="G4" s="35">
        <v>2000</v>
      </c>
      <c r="H4" s="35">
        <v>4000</v>
      </c>
    </row>
    <row r="5" spans="1:8" s="15" customFormat="1" ht="26.1" customHeight="1" x14ac:dyDescent="0.2">
      <c r="A5" s="67" t="s">
        <v>1098</v>
      </c>
      <c r="B5" s="43" t="s">
        <v>1020</v>
      </c>
      <c r="C5" s="46" t="s">
        <v>39</v>
      </c>
      <c r="D5" s="44" t="s">
        <v>441</v>
      </c>
      <c r="E5" s="47" t="s">
        <v>1030</v>
      </c>
      <c r="F5" s="46" t="s">
        <v>1034</v>
      </c>
      <c r="G5" s="35">
        <v>2443</v>
      </c>
      <c r="H5" s="35">
        <v>6500</v>
      </c>
    </row>
    <row r="6" spans="1:8" s="15" customFormat="1" ht="26.1" customHeight="1" x14ac:dyDescent="0.2">
      <c r="A6" s="67" t="s">
        <v>1098</v>
      </c>
      <c r="B6" s="43" t="s">
        <v>956</v>
      </c>
      <c r="C6" s="46" t="s">
        <v>40</v>
      </c>
      <c r="D6" s="44" t="s">
        <v>961</v>
      </c>
      <c r="E6" s="47" t="s">
        <v>964</v>
      </c>
      <c r="F6" s="46" t="s">
        <v>969</v>
      </c>
      <c r="G6" s="35">
        <v>3000</v>
      </c>
      <c r="H6" s="35">
        <v>33000</v>
      </c>
    </row>
    <row r="7" spans="1:8" s="15" customFormat="1" ht="26.1" customHeight="1" x14ac:dyDescent="0.2">
      <c r="A7" s="67" t="s">
        <v>1098</v>
      </c>
      <c r="B7" s="43" t="s">
        <v>1019</v>
      </c>
      <c r="C7" s="46" t="s">
        <v>46</v>
      </c>
      <c r="D7" s="44" t="s">
        <v>1026</v>
      </c>
      <c r="E7" s="47" t="s">
        <v>1029</v>
      </c>
      <c r="F7" s="46" t="s">
        <v>1033</v>
      </c>
      <c r="G7" s="35">
        <v>3000</v>
      </c>
      <c r="H7" s="35">
        <v>6000</v>
      </c>
    </row>
    <row r="8" spans="1:8" s="15" customFormat="1" ht="26.1" customHeight="1" x14ac:dyDescent="0.2">
      <c r="A8" s="67" t="s">
        <v>1098</v>
      </c>
      <c r="B8" s="43" t="s">
        <v>1043</v>
      </c>
      <c r="C8" s="46" t="s">
        <v>145</v>
      </c>
      <c r="D8" s="44" t="s">
        <v>776</v>
      </c>
      <c r="E8" s="47" t="s">
        <v>1047</v>
      </c>
      <c r="F8" s="46" t="s">
        <v>1053</v>
      </c>
      <c r="G8" s="35">
        <v>3600</v>
      </c>
      <c r="H8" s="35">
        <v>20000</v>
      </c>
    </row>
    <row r="9" spans="1:8" s="15" customFormat="1" ht="26.1" customHeight="1" x14ac:dyDescent="0.2">
      <c r="A9" s="67" t="s">
        <v>1098</v>
      </c>
      <c r="B9" s="43" t="s">
        <v>935</v>
      </c>
      <c r="C9" s="46" t="s">
        <v>940</v>
      </c>
      <c r="D9" s="44" t="s">
        <v>941</v>
      </c>
      <c r="E9" s="47" t="s">
        <v>944</v>
      </c>
      <c r="F9" s="46" t="s">
        <v>945</v>
      </c>
      <c r="G9" s="35">
        <v>4200</v>
      </c>
      <c r="H9" s="35">
        <v>22969</v>
      </c>
    </row>
    <row r="10" spans="1:8" s="15" customFormat="1" ht="26.1" customHeight="1" x14ac:dyDescent="0.2">
      <c r="A10" s="67" t="s">
        <v>1098</v>
      </c>
      <c r="B10" s="43" t="s">
        <v>673</v>
      </c>
      <c r="C10" s="46" t="s">
        <v>39</v>
      </c>
      <c r="D10" s="44" t="s">
        <v>702</v>
      </c>
      <c r="E10" s="47" t="s">
        <v>712</v>
      </c>
      <c r="F10" s="46" t="s">
        <v>689</v>
      </c>
      <c r="G10" s="35">
        <v>4500</v>
      </c>
      <c r="H10" s="40">
        <v>4800</v>
      </c>
    </row>
    <row r="11" spans="1:8" s="15" customFormat="1" ht="26.1" customHeight="1" x14ac:dyDescent="0.2">
      <c r="A11" s="67" t="s">
        <v>1098</v>
      </c>
      <c r="B11" s="43" t="s">
        <v>674</v>
      </c>
      <c r="C11" s="46" t="s">
        <v>39</v>
      </c>
      <c r="D11" s="44" t="s">
        <v>703</v>
      </c>
      <c r="E11" s="47" t="s">
        <v>713</v>
      </c>
      <c r="F11" s="46" t="s">
        <v>690</v>
      </c>
      <c r="G11" s="35">
        <v>5000</v>
      </c>
      <c r="H11" s="40">
        <v>28865</v>
      </c>
    </row>
    <row r="12" spans="1:8" s="15" customFormat="1" ht="26.1" customHeight="1" x14ac:dyDescent="0.2">
      <c r="A12" s="67" t="s">
        <v>1098</v>
      </c>
      <c r="B12" s="43" t="s">
        <v>1061</v>
      </c>
      <c r="C12" s="46" t="s">
        <v>94</v>
      </c>
      <c r="D12" s="44" t="s">
        <v>732</v>
      </c>
      <c r="E12" s="47" t="s">
        <v>1070</v>
      </c>
      <c r="F12" s="46" t="s">
        <v>1077</v>
      </c>
      <c r="G12" s="35">
        <v>5000</v>
      </c>
      <c r="H12" s="35">
        <v>49500</v>
      </c>
    </row>
    <row r="13" spans="1:8" s="15" customFormat="1" ht="26.1" customHeight="1" x14ac:dyDescent="0.2">
      <c r="A13" s="67" t="s">
        <v>1098</v>
      </c>
      <c r="B13" s="43" t="s">
        <v>400</v>
      </c>
      <c r="C13" s="46" t="s">
        <v>42</v>
      </c>
      <c r="D13" s="44" t="s">
        <v>406</v>
      </c>
      <c r="E13" s="34">
        <v>6847</v>
      </c>
      <c r="F13" s="46" t="s">
        <v>395</v>
      </c>
      <c r="G13" s="35">
        <v>5059</v>
      </c>
      <c r="H13" s="40">
        <v>5059</v>
      </c>
    </row>
    <row r="14" spans="1:8" s="15" customFormat="1" ht="26.1" customHeight="1" x14ac:dyDescent="0.2">
      <c r="A14" s="67" t="s">
        <v>1098</v>
      </c>
      <c r="B14" s="43" t="s">
        <v>719</v>
      </c>
      <c r="C14" s="46" t="s">
        <v>39</v>
      </c>
      <c r="D14" s="44" t="s">
        <v>442</v>
      </c>
      <c r="E14" s="47">
        <v>7862</v>
      </c>
      <c r="F14" s="46" t="s">
        <v>742</v>
      </c>
      <c r="G14" s="35">
        <v>5090</v>
      </c>
      <c r="H14" s="40">
        <v>5090</v>
      </c>
    </row>
    <row r="15" spans="1:8" s="15" customFormat="1" ht="26.1" customHeight="1" x14ac:dyDescent="0.2">
      <c r="A15" s="67" t="s">
        <v>1098</v>
      </c>
      <c r="B15" s="43" t="s">
        <v>720</v>
      </c>
      <c r="C15" s="46" t="s">
        <v>39</v>
      </c>
      <c r="D15" s="44" t="s">
        <v>733</v>
      </c>
      <c r="E15" s="47">
        <v>7872</v>
      </c>
      <c r="F15" s="46" t="s">
        <v>742</v>
      </c>
      <c r="G15" s="35">
        <v>5365</v>
      </c>
      <c r="H15" s="40">
        <v>5365</v>
      </c>
    </row>
    <row r="16" spans="1:8" s="15" customFormat="1" ht="26.1" customHeight="1" x14ac:dyDescent="0.2">
      <c r="A16" s="67" t="s">
        <v>1098</v>
      </c>
      <c r="B16" s="43" t="s">
        <v>157</v>
      </c>
      <c r="C16" s="46" t="s">
        <v>159</v>
      </c>
      <c r="D16" s="44" t="s">
        <v>161</v>
      </c>
      <c r="E16" s="34">
        <v>6943</v>
      </c>
      <c r="F16" s="46" t="s">
        <v>164</v>
      </c>
      <c r="G16" s="35">
        <v>5400</v>
      </c>
      <c r="H16" s="40">
        <v>5400</v>
      </c>
    </row>
    <row r="17" spans="1:8" s="15" customFormat="1" ht="26.1" customHeight="1" x14ac:dyDescent="0.2">
      <c r="A17" s="67" t="s">
        <v>1098</v>
      </c>
      <c r="B17" s="43" t="s">
        <v>938</v>
      </c>
      <c r="C17" s="46" t="s">
        <v>39</v>
      </c>
      <c r="D17" s="44" t="s">
        <v>942</v>
      </c>
      <c r="E17" s="47">
        <v>8242</v>
      </c>
      <c r="F17" s="46" t="s">
        <v>948</v>
      </c>
      <c r="G17" s="35">
        <v>5400</v>
      </c>
      <c r="H17" s="35">
        <v>5400</v>
      </c>
    </row>
    <row r="18" spans="1:8" s="15" customFormat="1" ht="26.1" customHeight="1" x14ac:dyDescent="0.2">
      <c r="A18" s="67" t="s">
        <v>1098</v>
      </c>
      <c r="B18" s="43" t="s">
        <v>144</v>
      </c>
      <c r="C18" s="46" t="s">
        <v>145</v>
      </c>
      <c r="D18" s="44" t="s">
        <v>148</v>
      </c>
      <c r="E18" s="34">
        <v>6657</v>
      </c>
      <c r="F18" s="46" t="s">
        <v>151</v>
      </c>
      <c r="G18" s="35">
        <v>5500</v>
      </c>
      <c r="H18" s="40">
        <v>30000</v>
      </c>
    </row>
    <row r="19" spans="1:8" s="15" customFormat="1" ht="26.1" customHeight="1" x14ac:dyDescent="0.2">
      <c r="A19" s="67" t="s">
        <v>1098</v>
      </c>
      <c r="B19" s="43" t="s">
        <v>170</v>
      </c>
      <c r="C19" s="46" t="s">
        <v>39</v>
      </c>
      <c r="D19" s="44" t="s">
        <v>177</v>
      </c>
      <c r="E19" s="34">
        <v>6859</v>
      </c>
      <c r="F19" s="46" t="s">
        <v>185</v>
      </c>
      <c r="G19" s="35">
        <v>5500</v>
      </c>
      <c r="H19" s="40">
        <v>5500</v>
      </c>
    </row>
    <row r="20" spans="1:8" s="15" customFormat="1" ht="26.1" customHeight="1" x14ac:dyDescent="0.2">
      <c r="A20" s="67" t="s">
        <v>1098</v>
      </c>
      <c r="B20" s="43" t="s">
        <v>1018</v>
      </c>
      <c r="C20" s="46" t="s">
        <v>145</v>
      </c>
      <c r="D20" s="44" t="s">
        <v>148</v>
      </c>
      <c r="E20" s="47">
        <v>8425</v>
      </c>
      <c r="F20" s="46" t="s">
        <v>1032</v>
      </c>
      <c r="G20" s="35">
        <v>5500</v>
      </c>
      <c r="H20" s="35">
        <v>5500</v>
      </c>
    </row>
    <row r="21" spans="1:8" s="15" customFormat="1" ht="26.1" customHeight="1" x14ac:dyDescent="0.2">
      <c r="A21" s="67" t="s">
        <v>1098</v>
      </c>
      <c r="B21" s="43" t="s">
        <v>246</v>
      </c>
      <c r="C21" s="46" t="s">
        <v>39</v>
      </c>
      <c r="D21" s="44" t="s">
        <v>253</v>
      </c>
      <c r="E21" s="34">
        <v>6865</v>
      </c>
      <c r="F21" s="46" t="s">
        <v>261</v>
      </c>
      <c r="G21" s="35">
        <v>5672</v>
      </c>
      <c r="H21" s="40">
        <v>5672</v>
      </c>
    </row>
    <row r="22" spans="1:8" s="15" customFormat="1" ht="26.1" customHeight="1" x14ac:dyDescent="0.2">
      <c r="A22" s="67" t="s">
        <v>1098</v>
      </c>
      <c r="B22" s="43" t="s">
        <v>1003</v>
      </c>
      <c r="C22" s="46" t="s">
        <v>41</v>
      </c>
      <c r="D22" s="44" t="s">
        <v>1008</v>
      </c>
      <c r="E22" s="47">
        <v>8373</v>
      </c>
      <c r="F22" s="46" t="s">
        <v>1013</v>
      </c>
      <c r="G22" s="35">
        <v>5805</v>
      </c>
      <c r="H22" s="35">
        <v>5805</v>
      </c>
    </row>
    <row r="23" spans="1:8" s="15" customFormat="1" ht="26.1" customHeight="1" x14ac:dyDescent="0.2">
      <c r="A23" s="67" t="s">
        <v>1098</v>
      </c>
      <c r="B23" s="43" t="s">
        <v>584</v>
      </c>
      <c r="C23" s="46" t="s">
        <v>39</v>
      </c>
      <c r="D23" s="44" t="s">
        <v>439</v>
      </c>
      <c r="E23" s="47">
        <v>7560</v>
      </c>
      <c r="F23" s="46" t="s">
        <v>592</v>
      </c>
      <c r="G23" s="35">
        <v>5839</v>
      </c>
      <c r="H23" s="40">
        <v>5839</v>
      </c>
    </row>
    <row r="24" spans="1:8" s="15" customFormat="1" ht="26.1" customHeight="1" x14ac:dyDescent="0.2">
      <c r="A24" s="67" t="s">
        <v>1098</v>
      </c>
      <c r="B24" s="43" t="s">
        <v>454</v>
      </c>
      <c r="C24" s="46" t="s">
        <v>159</v>
      </c>
      <c r="D24" s="44" t="s">
        <v>466</v>
      </c>
      <c r="E24" s="47" t="s">
        <v>471</v>
      </c>
      <c r="F24" s="46" t="s">
        <v>464</v>
      </c>
      <c r="G24" s="35">
        <v>5850</v>
      </c>
      <c r="H24" s="40">
        <v>12189</v>
      </c>
    </row>
    <row r="25" spans="1:8" s="15" customFormat="1" ht="26.1" customHeight="1" x14ac:dyDescent="0.2">
      <c r="A25" s="67" t="s">
        <v>1098</v>
      </c>
      <c r="B25" s="43" t="s">
        <v>278</v>
      </c>
      <c r="C25" s="46" t="s">
        <v>39</v>
      </c>
      <c r="D25" s="44" t="s">
        <v>177</v>
      </c>
      <c r="E25" s="34">
        <v>7124</v>
      </c>
      <c r="F25" s="46" t="s">
        <v>307</v>
      </c>
      <c r="G25" s="35">
        <v>5941</v>
      </c>
      <c r="H25" s="40">
        <v>5941</v>
      </c>
    </row>
    <row r="26" spans="1:8" s="15" customFormat="1" ht="26.1" customHeight="1" x14ac:dyDescent="0.2">
      <c r="A26" s="67" t="s">
        <v>1098</v>
      </c>
      <c r="B26" s="43" t="s">
        <v>455</v>
      </c>
      <c r="C26" s="46" t="s">
        <v>39</v>
      </c>
      <c r="D26" s="44" t="s">
        <v>177</v>
      </c>
      <c r="E26" s="34">
        <v>7218</v>
      </c>
      <c r="F26" s="46" t="s">
        <v>460</v>
      </c>
      <c r="G26" s="35">
        <v>5941</v>
      </c>
      <c r="H26" s="40">
        <v>5941</v>
      </c>
    </row>
    <row r="27" spans="1:8" s="15" customFormat="1" ht="26.1" customHeight="1" x14ac:dyDescent="0.2">
      <c r="A27" s="67" t="s">
        <v>1098</v>
      </c>
      <c r="B27" s="43" t="s">
        <v>428</v>
      </c>
      <c r="C27" s="46" t="s">
        <v>39</v>
      </c>
      <c r="D27" s="44" t="s">
        <v>442</v>
      </c>
      <c r="E27" s="34">
        <v>7173</v>
      </c>
      <c r="F27" s="46" t="s">
        <v>434</v>
      </c>
      <c r="G27" s="35">
        <v>5950</v>
      </c>
      <c r="H27" s="40">
        <v>5950</v>
      </c>
    </row>
    <row r="28" spans="1:8" s="15" customFormat="1" ht="26.1" customHeight="1" x14ac:dyDescent="0.2">
      <c r="A28" s="67" t="s">
        <v>1098</v>
      </c>
      <c r="B28" s="43" t="s">
        <v>169</v>
      </c>
      <c r="C28" s="46" t="s">
        <v>42</v>
      </c>
      <c r="D28" s="44" t="s">
        <v>176</v>
      </c>
      <c r="E28" s="34">
        <v>7002</v>
      </c>
      <c r="F28" s="46" t="s">
        <v>184</v>
      </c>
      <c r="G28" s="35">
        <v>6000</v>
      </c>
      <c r="H28" s="40">
        <v>6000</v>
      </c>
    </row>
    <row r="29" spans="1:8" s="15" customFormat="1" ht="26.1" customHeight="1" x14ac:dyDescent="0.2">
      <c r="A29" s="67" t="s">
        <v>1098</v>
      </c>
      <c r="B29" s="43" t="s">
        <v>801</v>
      </c>
      <c r="C29" s="46" t="s">
        <v>46</v>
      </c>
      <c r="D29" s="44" t="s">
        <v>805</v>
      </c>
      <c r="E29" s="47">
        <v>7924</v>
      </c>
      <c r="F29" s="46" t="s">
        <v>808</v>
      </c>
      <c r="G29" s="35">
        <v>6000</v>
      </c>
      <c r="H29" s="40">
        <v>6000</v>
      </c>
    </row>
    <row r="30" spans="1:8" s="15" customFormat="1" ht="26.1" customHeight="1" x14ac:dyDescent="0.2">
      <c r="A30" s="67" t="s">
        <v>1098</v>
      </c>
      <c r="B30" s="43" t="s">
        <v>425</v>
      </c>
      <c r="C30" s="46" t="s">
        <v>41</v>
      </c>
      <c r="D30" s="44" t="s">
        <v>439</v>
      </c>
      <c r="E30" s="34">
        <v>7150</v>
      </c>
      <c r="F30" s="46" t="s">
        <v>444</v>
      </c>
      <c r="G30" s="35">
        <v>6332</v>
      </c>
      <c r="H30" s="40">
        <v>6332</v>
      </c>
    </row>
    <row r="31" spans="1:8" s="15" customFormat="1" ht="26.1" customHeight="1" x14ac:dyDescent="0.2">
      <c r="A31" s="67" t="s">
        <v>1098</v>
      </c>
      <c r="B31" s="43" t="s">
        <v>489</v>
      </c>
      <c r="C31" s="46" t="s">
        <v>315</v>
      </c>
      <c r="D31" s="44" t="s">
        <v>519</v>
      </c>
      <c r="E31" s="47">
        <v>7073</v>
      </c>
      <c r="F31" s="46" t="s">
        <v>514</v>
      </c>
      <c r="G31" s="35">
        <v>6389</v>
      </c>
      <c r="H31" s="40">
        <v>6389</v>
      </c>
    </row>
    <row r="32" spans="1:8" s="15" customFormat="1" ht="26.1" customHeight="1" x14ac:dyDescent="0.2">
      <c r="A32" s="67" t="s">
        <v>1098</v>
      </c>
      <c r="B32" s="43" t="s">
        <v>901</v>
      </c>
      <c r="C32" s="46" t="s">
        <v>39</v>
      </c>
      <c r="D32" s="44" t="s">
        <v>441</v>
      </c>
      <c r="E32" s="47">
        <v>8176</v>
      </c>
      <c r="F32" s="46" t="s">
        <v>917</v>
      </c>
      <c r="G32" s="35">
        <v>6500</v>
      </c>
      <c r="H32" s="35">
        <v>6500</v>
      </c>
    </row>
    <row r="33" spans="1:8" s="15" customFormat="1" ht="26.1" customHeight="1" x14ac:dyDescent="0.2">
      <c r="A33" s="67" t="s">
        <v>1098</v>
      </c>
      <c r="B33" s="43" t="s">
        <v>656</v>
      </c>
      <c r="C33" s="46" t="s">
        <v>46</v>
      </c>
      <c r="D33" s="46" t="s">
        <v>134</v>
      </c>
      <c r="E33" s="47">
        <v>7718</v>
      </c>
      <c r="F33" s="46" t="s">
        <v>663</v>
      </c>
      <c r="G33" s="35">
        <v>6824</v>
      </c>
      <c r="H33" s="40">
        <v>6824</v>
      </c>
    </row>
    <row r="34" spans="1:8" s="15" customFormat="1" ht="26.1" customHeight="1" x14ac:dyDescent="0.2">
      <c r="A34" s="67" t="s">
        <v>1098</v>
      </c>
      <c r="B34" s="43" t="s">
        <v>813</v>
      </c>
      <c r="C34" s="46" t="s">
        <v>46</v>
      </c>
      <c r="D34" s="44" t="s">
        <v>819</v>
      </c>
      <c r="E34" s="47">
        <v>8024</v>
      </c>
      <c r="F34" s="46" t="s">
        <v>824</v>
      </c>
      <c r="G34" s="35">
        <v>6874</v>
      </c>
      <c r="H34" s="40">
        <v>6874</v>
      </c>
    </row>
    <row r="35" spans="1:8" s="15" customFormat="1" ht="26.1" customHeight="1" x14ac:dyDescent="0.2">
      <c r="A35" s="67" t="s">
        <v>1098</v>
      </c>
      <c r="B35" s="43" t="s">
        <v>624</v>
      </c>
      <c r="C35" s="46" t="s">
        <v>125</v>
      </c>
      <c r="D35" s="44" t="s">
        <v>630</v>
      </c>
      <c r="E35" s="47">
        <v>7541</v>
      </c>
      <c r="F35" s="46" t="s">
        <v>633</v>
      </c>
      <c r="G35" s="35">
        <v>7060</v>
      </c>
      <c r="H35" s="40">
        <v>7060</v>
      </c>
    </row>
    <row r="36" spans="1:8" s="15" customFormat="1" ht="26.1" customHeight="1" x14ac:dyDescent="0.2">
      <c r="A36" s="67" t="s">
        <v>1098</v>
      </c>
      <c r="B36" s="43" t="s">
        <v>490</v>
      </c>
      <c r="C36" s="46" t="s">
        <v>41</v>
      </c>
      <c r="D36" s="44" t="s">
        <v>54</v>
      </c>
      <c r="E36" s="47">
        <v>7279</v>
      </c>
      <c r="F36" s="46" t="s">
        <v>503</v>
      </c>
      <c r="G36" s="35">
        <v>7071</v>
      </c>
      <c r="H36" s="40">
        <v>7071</v>
      </c>
    </row>
    <row r="37" spans="1:8" s="15" customFormat="1" ht="26.1" customHeight="1" x14ac:dyDescent="0.2">
      <c r="A37" s="67" t="s">
        <v>1098</v>
      </c>
      <c r="B37" s="43" t="s">
        <v>493</v>
      </c>
      <c r="C37" s="46" t="s">
        <v>39</v>
      </c>
      <c r="D37" s="44" t="s">
        <v>522</v>
      </c>
      <c r="E37" s="47">
        <v>7334</v>
      </c>
      <c r="F37" s="46" t="s">
        <v>506</v>
      </c>
      <c r="G37" s="35">
        <v>7125</v>
      </c>
      <c r="H37" s="40">
        <v>7125</v>
      </c>
    </row>
    <row r="38" spans="1:8" s="15" customFormat="1" ht="26.1" customHeight="1" x14ac:dyDescent="0.2">
      <c r="A38" s="67" t="s">
        <v>1098</v>
      </c>
      <c r="B38" s="43" t="s">
        <v>1080</v>
      </c>
      <c r="C38" s="46" t="s">
        <v>940</v>
      </c>
      <c r="D38" s="44" t="s">
        <v>820</v>
      </c>
      <c r="E38" s="47">
        <v>8565</v>
      </c>
      <c r="F38" s="46" t="s">
        <v>1081</v>
      </c>
      <c r="G38" s="35">
        <v>7280</v>
      </c>
      <c r="H38" s="35">
        <v>29730</v>
      </c>
    </row>
    <row r="39" spans="1:8" s="15" customFormat="1" ht="26.1" customHeight="1" x14ac:dyDescent="0.2">
      <c r="A39" s="67" t="s">
        <v>1098</v>
      </c>
      <c r="B39" s="43" t="s">
        <v>245</v>
      </c>
      <c r="C39" s="46" t="s">
        <v>41</v>
      </c>
      <c r="D39" s="44" t="s">
        <v>177</v>
      </c>
      <c r="E39" s="34">
        <v>6859</v>
      </c>
      <c r="F39" s="46" t="s">
        <v>260</v>
      </c>
      <c r="G39" s="35">
        <v>7284</v>
      </c>
      <c r="H39" s="40">
        <v>7284</v>
      </c>
    </row>
    <row r="40" spans="1:8" s="15" customFormat="1" ht="26.1" customHeight="1" x14ac:dyDescent="0.2">
      <c r="A40" s="67" t="s">
        <v>1098</v>
      </c>
      <c r="B40" s="43" t="s">
        <v>495</v>
      </c>
      <c r="C40" s="46" t="s">
        <v>41</v>
      </c>
      <c r="D40" s="44" t="s">
        <v>524</v>
      </c>
      <c r="E40" s="34">
        <v>7364</v>
      </c>
      <c r="F40" s="46" t="s">
        <v>508</v>
      </c>
      <c r="G40" s="35">
        <v>7374</v>
      </c>
      <c r="H40" s="40">
        <v>7374</v>
      </c>
    </row>
    <row r="41" spans="1:8" s="15" customFormat="1" ht="26.1" customHeight="1" x14ac:dyDescent="0.2">
      <c r="A41" s="67" t="s">
        <v>1098</v>
      </c>
      <c r="B41" s="43" t="s">
        <v>722</v>
      </c>
      <c r="C41" s="46" t="s">
        <v>41</v>
      </c>
      <c r="D41" s="44" t="s">
        <v>735</v>
      </c>
      <c r="E41" s="47">
        <v>7880</v>
      </c>
      <c r="F41" s="46" t="s">
        <v>749</v>
      </c>
      <c r="G41" s="35">
        <v>7429</v>
      </c>
      <c r="H41" s="40">
        <v>7429</v>
      </c>
    </row>
    <row r="42" spans="1:8" s="15" customFormat="1" ht="26.1" customHeight="1" x14ac:dyDescent="0.2">
      <c r="A42" s="67" t="s">
        <v>1098</v>
      </c>
      <c r="B42" s="43" t="s">
        <v>659</v>
      </c>
      <c r="C42" s="46" t="s">
        <v>41</v>
      </c>
      <c r="D42" s="46" t="s">
        <v>662</v>
      </c>
      <c r="E42" s="47">
        <v>7761</v>
      </c>
      <c r="F42" s="46" t="s">
        <v>664</v>
      </c>
      <c r="G42" s="35">
        <v>7500</v>
      </c>
      <c r="H42" s="40">
        <v>7500</v>
      </c>
    </row>
    <row r="43" spans="1:8" s="15" customFormat="1" ht="26.1" customHeight="1" x14ac:dyDescent="0.2">
      <c r="A43" s="67" t="s">
        <v>1098</v>
      </c>
      <c r="B43" s="43" t="s">
        <v>900</v>
      </c>
      <c r="C43" s="46" t="s">
        <v>904</v>
      </c>
      <c r="D43" s="44" t="s">
        <v>908</v>
      </c>
      <c r="E43" s="47" t="s">
        <v>912</v>
      </c>
      <c r="F43" s="46" t="s">
        <v>916</v>
      </c>
      <c r="G43" s="35">
        <v>7500</v>
      </c>
      <c r="H43" s="35">
        <v>15000</v>
      </c>
    </row>
    <row r="44" spans="1:8" s="15" customFormat="1" ht="26.1" customHeight="1" x14ac:dyDescent="0.2">
      <c r="A44" s="67" t="s">
        <v>1098</v>
      </c>
      <c r="B44" s="43" t="s">
        <v>1038</v>
      </c>
      <c r="C44" s="46" t="s">
        <v>46</v>
      </c>
      <c r="D44" s="44" t="s">
        <v>1044</v>
      </c>
      <c r="E44" s="47">
        <v>8330</v>
      </c>
      <c r="F44" s="46" t="s">
        <v>1048</v>
      </c>
      <c r="G44" s="35">
        <v>7500</v>
      </c>
      <c r="H44" s="35">
        <v>7500</v>
      </c>
    </row>
    <row r="45" spans="1:8" s="15" customFormat="1" ht="26.1" customHeight="1" x14ac:dyDescent="0.2">
      <c r="A45" s="67" t="s">
        <v>1098</v>
      </c>
      <c r="B45" s="43" t="s">
        <v>547</v>
      </c>
      <c r="C45" s="46" t="s">
        <v>41</v>
      </c>
      <c r="D45" s="44" t="s">
        <v>563</v>
      </c>
      <c r="E45" s="47">
        <v>7424</v>
      </c>
      <c r="F45" s="46" t="s">
        <v>572</v>
      </c>
      <c r="G45" s="35">
        <v>7649</v>
      </c>
      <c r="H45" s="40">
        <v>7649</v>
      </c>
    </row>
    <row r="46" spans="1:8" s="15" customFormat="1" ht="26.1" customHeight="1" x14ac:dyDescent="0.2">
      <c r="A46" s="67" t="s">
        <v>1098</v>
      </c>
      <c r="B46" s="43" t="s">
        <v>717</v>
      </c>
      <c r="C46" s="46" t="s">
        <v>41</v>
      </c>
      <c r="D46" s="44" t="s">
        <v>731</v>
      </c>
      <c r="E46" s="47">
        <v>7831</v>
      </c>
      <c r="F46" s="46" t="s">
        <v>740</v>
      </c>
      <c r="G46" s="35">
        <v>7853</v>
      </c>
      <c r="H46" s="40">
        <v>7853</v>
      </c>
    </row>
    <row r="47" spans="1:8" s="15" customFormat="1" ht="26.1" customHeight="1" x14ac:dyDescent="0.2">
      <c r="A47" s="67" t="s">
        <v>1098</v>
      </c>
      <c r="B47" s="43" t="s">
        <v>1022</v>
      </c>
      <c r="C47" s="46" t="s">
        <v>46</v>
      </c>
      <c r="D47" s="44" t="s">
        <v>647</v>
      </c>
      <c r="E47" s="47">
        <v>8487</v>
      </c>
      <c r="F47" s="46" t="s">
        <v>1036</v>
      </c>
      <c r="G47" s="35">
        <v>7968</v>
      </c>
      <c r="H47" s="35">
        <v>7968</v>
      </c>
    </row>
    <row r="48" spans="1:8" s="15" customFormat="1" ht="26.1" customHeight="1" x14ac:dyDescent="0.2">
      <c r="A48" s="67" t="s">
        <v>1098</v>
      </c>
      <c r="B48" s="43" t="s">
        <v>429</v>
      </c>
      <c r="C48" s="46" t="s">
        <v>159</v>
      </c>
      <c r="D48" s="44" t="s">
        <v>134</v>
      </c>
      <c r="E48" s="34">
        <v>7256</v>
      </c>
      <c r="F48" s="46" t="s">
        <v>435</v>
      </c>
      <c r="G48" s="35">
        <v>8000</v>
      </c>
      <c r="H48" s="40">
        <v>8000</v>
      </c>
    </row>
    <row r="49" spans="1:8" s="15" customFormat="1" ht="26.1" customHeight="1" x14ac:dyDescent="0.2">
      <c r="A49" s="67" t="s">
        <v>1098</v>
      </c>
      <c r="B49" s="43" t="s">
        <v>1004</v>
      </c>
      <c r="C49" s="46" t="s">
        <v>41</v>
      </c>
      <c r="D49" s="44" t="s">
        <v>1009</v>
      </c>
      <c r="E49" s="47">
        <v>8377</v>
      </c>
      <c r="F49" s="46" t="s">
        <v>1014</v>
      </c>
      <c r="G49" s="35">
        <v>8440</v>
      </c>
      <c r="H49" s="35">
        <v>8440</v>
      </c>
    </row>
    <row r="50" spans="1:8" s="15" customFormat="1" ht="26.1" customHeight="1" x14ac:dyDescent="0.2">
      <c r="A50" s="67" t="s">
        <v>1098</v>
      </c>
      <c r="B50" s="43" t="s">
        <v>228</v>
      </c>
      <c r="C50" s="46" t="s">
        <v>40</v>
      </c>
      <c r="D50" s="44" t="s">
        <v>233</v>
      </c>
      <c r="E50" s="34">
        <v>6959</v>
      </c>
      <c r="F50" s="46" t="s">
        <v>239</v>
      </c>
      <c r="G50" s="35">
        <v>8730</v>
      </c>
      <c r="H50" s="40">
        <v>8730</v>
      </c>
    </row>
    <row r="51" spans="1:8" s="15" customFormat="1" ht="26.1" customHeight="1" x14ac:dyDescent="0.2">
      <c r="A51" s="67" t="s">
        <v>1098</v>
      </c>
      <c r="B51" s="43" t="s">
        <v>902</v>
      </c>
      <c r="C51" s="46" t="s">
        <v>39</v>
      </c>
      <c r="D51" s="44" t="s">
        <v>909</v>
      </c>
      <c r="E51" s="47">
        <v>8195</v>
      </c>
      <c r="F51" s="46" t="s">
        <v>918</v>
      </c>
      <c r="G51" s="35">
        <v>8884</v>
      </c>
      <c r="H51" s="35">
        <v>8884</v>
      </c>
    </row>
    <row r="52" spans="1:8" s="15" customFormat="1" ht="26.1" customHeight="1" x14ac:dyDescent="0.2">
      <c r="A52" s="67" t="s">
        <v>1098</v>
      </c>
      <c r="B52" s="43" t="s">
        <v>1039</v>
      </c>
      <c r="C52" s="46" t="s">
        <v>41</v>
      </c>
      <c r="D52" s="44" t="s">
        <v>524</v>
      </c>
      <c r="E52" s="47">
        <v>8347</v>
      </c>
      <c r="F52" s="46" t="s">
        <v>1049</v>
      </c>
      <c r="G52" s="35">
        <v>8939</v>
      </c>
      <c r="H52" s="35">
        <v>8939</v>
      </c>
    </row>
    <row r="53" spans="1:8" s="15" customFormat="1" ht="26.1" customHeight="1" x14ac:dyDescent="0.2">
      <c r="A53" s="67" t="s">
        <v>1098</v>
      </c>
      <c r="B53" s="43" t="s">
        <v>627</v>
      </c>
      <c r="C53" s="46" t="s">
        <v>40</v>
      </c>
      <c r="D53" s="44" t="s">
        <v>233</v>
      </c>
      <c r="E53" s="47">
        <v>7673</v>
      </c>
      <c r="F53" s="46" t="s">
        <v>636</v>
      </c>
      <c r="G53" s="35">
        <v>9000</v>
      </c>
      <c r="H53" s="40">
        <v>9000</v>
      </c>
    </row>
    <row r="54" spans="1:8" s="15" customFormat="1" ht="26.1" customHeight="1" x14ac:dyDescent="0.2">
      <c r="A54" s="67" t="s">
        <v>1098</v>
      </c>
      <c r="B54" s="43" t="s">
        <v>551</v>
      </c>
      <c r="C54" s="46" t="s">
        <v>159</v>
      </c>
      <c r="D54" s="44" t="s">
        <v>565</v>
      </c>
      <c r="E54" s="47">
        <v>7439</v>
      </c>
      <c r="F54" s="46" t="s">
        <v>576</v>
      </c>
      <c r="G54" s="35">
        <v>9250</v>
      </c>
      <c r="H54" s="40">
        <v>9250</v>
      </c>
    </row>
    <row r="55" spans="1:8" s="15" customFormat="1" ht="26.1" customHeight="1" x14ac:dyDescent="0.2">
      <c r="A55" s="67" t="s">
        <v>1098</v>
      </c>
      <c r="B55" s="43" t="s">
        <v>171</v>
      </c>
      <c r="C55" s="46" t="s">
        <v>39</v>
      </c>
      <c r="D55" s="44" t="s">
        <v>178</v>
      </c>
      <c r="E55" s="34">
        <v>6927</v>
      </c>
      <c r="F55" s="46" t="s">
        <v>183</v>
      </c>
      <c r="G55" s="35">
        <v>9541</v>
      </c>
      <c r="H55" s="40">
        <v>9541</v>
      </c>
    </row>
    <row r="56" spans="1:8" s="15" customFormat="1" ht="26.1" customHeight="1" x14ac:dyDescent="0.2">
      <c r="A56" s="67" t="s">
        <v>1098</v>
      </c>
      <c r="B56" s="43" t="s">
        <v>491</v>
      </c>
      <c r="C56" s="46" t="s">
        <v>516</v>
      </c>
      <c r="D56" s="44" t="s">
        <v>520</v>
      </c>
      <c r="E56" s="47">
        <v>7303</v>
      </c>
      <c r="F56" s="46" t="s">
        <v>504</v>
      </c>
      <c r="G56" s="35">
        <v>9750</v>
      </c>
      <c r="H56" s="40">
        <v>9750</v>
      </c>
    </row>
    <row r="57" spans="1:8" s="15" customFormat="1" ht="26.1" customHeight="1" x14ac:dyDescent="0.2">
      <c r="A57" s="67" t="s">
        <v>1098</v>
      </c>
      <c r="B57" s="43" t="s">
        <v>990</v>
      </c>
      <c r="C57" s="46" t="s">
        <v>39</v>
      </c>
      <c r="D57" s="44" t="s">
        <v>523</v>
      </c>
      <c r="E57" s="47" t="s">
        <v>995</v>
      </c>
      <c r="F57" s="46" t="s">
        <v>996</v>
      </c>
      <c r="G57" s="35">
        <v>9900</v>
      </c>
      <c r="H57" s="35">
        <v>30000</v>
      </c>
    </row>
    <row r="58" spans="1:8" s="15" customFormat="1" ht="26.1" customHeight="1" x14ac:dyDescent="0.2">
      <c r="A58" s="67" t="s">
        <v>1098</v>
      </c>
      <c r="B58" s="43" t="s">
        <v>22</v>
      </c>
      <c r="C58" s="46" t="s">
        <v>40</v>
      </c>
      <c r="D58" s="44" t="s">
        <v>53</v>
      </c>
      <c r="E58" s="47" t="s">
        <v>64</v>
      </c>
      <c r="F58" s="46" t="s">
        <v>71</v>
      </c>
      <c r="G58" s="49">
        <v>10000</v>
      </c>
      <c r="H58" s="40">
        <v>20000</v>
      </c>
    </row>
    <row r="59" spans="1:8" s="15" customFormat="1" ht="26.1" customHeight="1" x14ac:dyDescent="0.2">
      <c r="A59" s="67" t="s">
        <v>1098</v>
      </c>
      <c r="B59" s="43" t="s">
        <v>686</v>
      </c>
      <c r="C59" s="46" t="s">
        <v>47</v>
      </c>
      <c r="D59" s="44" t="s">
        <v>711</v>
      </c>
      <c r="E59" s="47">
        <v>7825</v>
      </c>
      <c r="F59" s="46" t="s">
        <v>338</v>
      </c>
      <c r="G59" s="35">
        <v>10000</v>
      </c>
      <c r="H59" s="40">
        <v>10000</v>
      </c>
    </row>
    <row r="60" spans="1:8" s="15" customFormat="1" ht="26.1" customHeight="1" x14ac:dyDescent="0.2">
      <c r="A60" s="67" t="s">
        <v>1098</v>
      </c>
      <c r="B60" s="43" t="s">
        <v>840</v>
      </c>
      <c r="C60" s="46" t="s">
        <v>39</v>
      </c>
      <c r="D60" s="44" t="s">
        <v>849</v>
      </c>
      <c r="E60" s="47">
        <v>8086</v>
      </c>
      <c r="F60" s="46" t="s">
        <v>859</v>
      </c>
      <c r="G60" s="35">
        <v>10000</v>
      </c>
      <c r="H60" s="40">
        <v>10000</v>
      </c>
    </row>
    <row r="61" spans="1:8" s="15" customFormat="1" ht="26.1" customHeight="1" x14ac:dyDescent="0.2">
      <c r="A61" s="67" t="s">
        <v>1098</v>
      </c>
      <c r="B61" s="43" t="s">
        <v>899</v>
      </c>
      <c r="C61" s="46" t="s">
        <v>124</v>
      </c>
      <c r="D61" s="44" t="s">
        <v>907</v>
      </c>
      <c r="E61" s="47" t="s">
        <v>911</v>
      </c>
      <c r="F61" s="46" t="s">
        <v>915</v>
      </c>
      <c r="G61" s="35">
        <v>10000</v>
      </c>
      <c r="H61" s="35">
        <v>4990</v>
      </c>
    </row>
    <row r="62" spans="1:8" s="15" customFormat="1" ht="26.1" customHeight="1" x14ac:dyDescent="0.2">
      <c r="A62" s="67" t="s">
        <v>1098</v>
      </c>
      <c r="B62" s="43" t="s">
        <v>685</v>
      </c>
      <c r="C62" s="46" t="s">
        <v>39</v>
      </c>
      <c r="D62" s="44" t="s">
        <v>710</v>
      </c>
      <c r="E62" s="47">
        <v>7823</v>
      </c>
      <c r="F62" s="46" t="s">
        <v>700</v>
      </c>
      <c r="G62" s="35">
        <v>10001</v>
      </c>
      <c r="H62" s="40">
        <v>10001</v>
      </c>
    </row>
    <row r="63" spans="1:8" s="15" customFormat="1" ht="26.1" customHeight="1" x14ac:dyDescent="0.2">
      <c r="A63" s="67" t="s">
        <v>1098</v>
      </c>
      <c r="B63" s="43" t="s">
        <v>418</v>
      </c>
      <c r="C63" s="46" t="s">
        <v>38</v>
      </c>
      <c r="D63" s="44" t="s">
        <v>421</v>
      </c>
      <c r="E63" s="34">
        <v>7208</v>
      </c>
      <c r="F63" s="46" t="s">
        <v>416</v>
      </c>
      <c r="G63" s="35">
        <v>10416</v>
      </c>
      <c r="H63" s="40">
        <v>10416</v>
      </c>
    </row>
    <row r="64" spans="1:8" s="15" customFormat="1" ht="26.1" customHeight="1" x14ac:dyDescent="0.2">
      <c r="A64" s="67" t="s">
        <v>1098</v>
      </c>
      <c r="B64" s="43" t="s">
        <v>417</v>
      </c>
      <c r="C64" s="46" t="s">
        <v>38</v>
      </c>
      <c r="D64" s="44" t="s">
        <v>420</v>
      </c>
      <c r="E64" s="34">
        <v>7204</v>
      </c>
      <c r="F64" s="46" t="s">
        <v>416</v>
      </c>
      <c r="G64" s="35">
        <v>10500</v>
      </c>
      <c r="H64" s="40">
        <v>10500</v>
      </c>
    </row>
    <row r="65" spans="1:8" s="15" customFormat="1" ht="26.1" customHeight="1" x14ac:dyDescent="0.2">
      <c r="A65" s="67" t="s">
        <v>1098</v>
      </c>
      <c r="B65" s="43" t="s">
        <v>723</v>
      </c>
      <c r="C65" s="46" t="s">
        <v>41</v>
      </c>
      <c r="D65" s="44" t="s">
        <v>254</v>
      </c>
      <c r="E65" s="47">
        <v>7881</v>
      </c>
      <c r="F65" s="46" t="s">
        <v>744</v>
      </c>
      <c r="G65" s="35">
        <v>10963</v>
      </c>
      <c r="H65" s="40">
        <v>10963</v>
      </c>
    </row>
    <row r="66" spans="1:8" s="15" customFormat="1" ht="26.1" customHeight="1" x14ac:dyDescent="0.2">
      <c r="A66" s="67" t="s">
        <v>1098</v>
      </c>
      <c r="B66" s="43" t="s">
        <v>229</v>
      </c>
      <c r="C66" s="46" t="s">
        <v>41</v>
      </c>
      <c r="D66" s="44" t="s">
        <v>234</v>
      </c>
      <c r="E66" s="34">
        <v>6885</v>
      </c>
      <c r="F66" s="46" t="s">
        <v>238</v>
      </c>
      <c r="G66" s="35">
        <v>10968</v>
      </c>
      <c r="H66" s="40">
        <v>10968</v>
      </c>
    </row>
    <row r="67" spans="1:8" s="15" customFormat="1" ht="26.1" customHeight="1" x14ac:dyDescent="0.2">
      <c r="A67" s="67" t="s">
        <v>1098</v>
      </c>
      <c r="B67" s="43" t="s">
        <v>549</v>
      </c>
      <c r="C67" s="46" t="s">
        <v>41</v>
      </c>
      <c r="D67" s="44" t="s">
        <v>254</v>
      </c>
      <c r="E67" s="47">
        <v>7433</v>
      </c>
      <c r="F67" s="46" t="s">
        <v>574</v>
      </c>
      <c r="G67" s="35">
        <v>10995</v>
      </c>
      <c r="H67" s="40">
        <v>10995</v>
      </c>
    </row>
    <row r="68" spans="1:8" s="15" customFormat="1" ht="26.1" customHeight="1" x14ac:dyDescent="0.2">
      <c r="A68" s="67" t="s">
        <v>1098</v>
      </c>
      <c r="B68" s="43" t="s">
        <v>268</v>
      </c>
      <c r="C68" s="46" t="s">
        <v>37</v>
      </c>
      <c r="D68" s="44" t="s">
        <v>282</v>
      </c>
      <c r="E68" s="47" t="s">
        <v>291</v>
      </c>
      <c r="F68" s="46" t="s">
        <v>297</v>
      </c>
      <c r="G68" s="35">
        <v>11400</v>
      </c>
      <c r="H68" s="40">
        <v>45000</v>
      </c>
    </row>
    <row r="69" spans="1:8" s="15" customFormat="1" ht="26.1" customHeight="1" x14ac:dyDescent="0.2">
      <c r="A69" s="67" t="s">
        <v>1098</v>
      </c>
      <c r="B69" s="43" t="s">
        <v>247</v>
      </c>
      <c r="C69" s="46" t="s">
        <v>41</v>
      </c>
      <c r="D69" s="44" t="s">
        <v>254</v>
      </c>
      <c r="E69" s="34">
        <v>6884</v>
      </c>
      <c r="F69" s="46" t="s">
        <v>262</v>
      </c>
      <c r="G69" s="35">
        <v>11516</v>
      </c>
      <c r="H69" s="40">
        <v>11516</v>
      </c>
    </row>
    <row r="70" spans="1:8" s="15" customFormat="1" ht="26.1" customHeight="1" x14ac:dyDescent="0.2">
      <c r="A70" s="67" t="s">
        <v>1098</v>
      </c>
      <c r="B70" s="43" t="s">
        <v>679</v>
      </c>
      <c r="C70" s="46" t="s">
        <v>41</v>
      </c>
      <c r="D70" s="44" t="s">
        <v>254</v>
      </c>
      <c r="E70" s="47">
        <v>7795</v>
      </c>
      <c r="F70" s="46" t="s">
        <v>695</v>
      </c>
      <c r="G70" s="35">
        <v>11516</v>
      </c>
      <c r="H70" s="40">
        <v>11516</v>
      </c>
    </row>
    <row r="71" spans="1:8" s="15" customFormat="1" ht="26.1" customHeight="1" x14ac:dyDescent="0.2">
      <c r="A71" s="67" t="s">
        <v>1098</v>
      </c>
      <c r="B71" s="43" t="s">
        <v>835</v>
      </c>
      <c r="C71" s="46" t="s">
        <v>41</v>
      </c>
      <c r="D71" s="44" t="s">
        <v>254</v>
      </c>
      <c r="E71" s="47">
        <v>8050</v>
      </c>
      <c r="F71" s="46" t="s">
        <v>855</v>
      </c>
      <c r="G71" s="35">
        <v>11516</v>
      </c>
      <c r="H71" s="40">
        <v>11516</v>
      </c>
    </row>
    <row r="72" spans="1:8" s="15" customFormat="1" ht="26.1" customHeight="1" x14ac:dyDescent="0.2">
      <c r="A72" s="67" t="s">
        <v>1098</v>
      </c>
      <c r="B72" s="43" t="s">
        <v>681</v>
      </c>
      <c r="C72" s="46" t="s">
        <v>687</v>
      </c>
      <c r="D72" s="44" t="s">
        <v>707</v>
      </c>
      <c r="E72" s="47">
        <v>7801</v>
      </c>
      <c r="F72" s="46" t="s">
        <v>697</v>
      </c>
      <c r="G72" s="35">
        <v>11575</v>
      </c>
      <c r="H72" s="40">
        <v>11575</v>
      </c>
    </row>
    <row r="73" spans="1:8" s="15" customFormat="1" ht="26.1" customHeight="1" x14ac:dyDescent="0.2">
      <c r="A73" s="67" t="s">
        <v>1098</v>
      </c>
      <c r="B73" s="43" t="s">
        <v>952</v>
      </c>
      <c r="C73" s="46" t="s">
        <v>940</v>
      </c>
      <c r="D73" s="44" t="s">
        <v>852</v>
      </c>
      <c r="E73" s="47">
        <v>8249</v>
      </c>
      <c r="F73" s="46" t="s">
        <v>965</v>
      </c>
      <c r="G73" s="35">
        <v>11890</v>
      </c>
      <c r="H73" s="35">
        <v>11890</v>
      </c>
    </row>
    <row r="74" spans="1:8" s="15" customFormat="1" ht="26.1" customHeight="1" x14ac:dyDescent="0.2">
      <c r="A74" s="67" t="s">
        <v>1098</v>
      </c>
      <c r="B74" s="43" t="s">
        <v>815</v>
      </c>
      <c r="C74" s="46" t="s">
        <v>816</v>
      </c>
      <c r="D74" s="44" t="s">
        <v>821</v>
      </c>
      <c r="E74" s="47">
        <v>8057</v>
      </c>
      <c r="F74" s="46" t="s">
        <v>826</v>
      </c>
      <c r="G74" s="35">
        <v>11900</v>
      </c>
      <c r="H74" s="40">
        <v>11900</v>
      </c>
    </row>
    <row r="75" spans="1:8" s="15" customFormat="1" ht="26.1" customHeight="1" x14ac:dyDescent="0.2">
      <c r="A75" s="67" t="s">
        <v>1098</v>
      </c>
      <c r="B75" s="43" t="s">
        <v>243</v>
      </c>
      <c r="C75" s="46" t="s">
        <v>44</v>
      </c>
      <c r="D75" s="44" t="s">
        <v>251</v>
      </c>
      <c r="E75" s="47">
        <v>6487</v>
      </c>
      <c r="F75" s="46" t="s">
        <v>258</v>
      </c>
      <c r="G75" s="35">
        <v>12000</v>
      </c>
      <c r="H75" s="40">
        <v>99000</v>
      </c>
    </row>
    <row r="76" spans="1:8" s="15" customFormat="1" ht="26.1" customHeight="1" x14ac:dyDescent="0.2">
      <c r="A76" s="67" t="s">
        <v>1098</v>
      </c>
      <c r="B76" s="43" t="s">
        <v>841</v>
      </c>
      <c r="C76" s="46" t="s">
        <v>41</v>
      </c>
      <c r="D76" s="44" t="s">
        <v>662</v>
      </c>
      <c r="E76" s="47" t="s">
        <v>853</v>
      </c>
      <c r="F76" s="46" t="s">
        <v>664</v>
      </c>
      <c r="G76" s="35">
        <v>12000</v>
      </c>
      <c r="H76" s="40">
        <v>7500</v>
      </c>
    </row>
    <row r="77" spans="1:8" s="15" customFormat="1" ht="26.1" customHeight="1" x14ac:dyDescent="0.2">
      <c r="A77" s="67" t="s">
        <v>1098</v>
      </c>
      <c r="B77" s="43" t="s">
        <v>640</v>
      </c>
      <c r="C77" s="46" t="s">
        <v>46</v>
      </c>
      <c r="D77" s="43" t="s">
        <v>647</v>
      </c>
      <c r="E77" s="47">
        <v>7653</v>
      </c>
      <c r="F77" s="46" t="s">
        <v>644</v>
      </c>
      <c r="G77" s="35">
        <v>13281</v>
      </c>
      <c r="H77" s="40">
        <v>13281</v>
      </c>
    </row>
    <row r="78" spans="1:8" s="15" customFormat="1" ht="26.1" customHeight="1" x14ac:dyDescent="0.2">
      <c r="A78" s="67" t="s">
        <v>1098</v>
      </c>
      <c r="B78" s="43" t="s">
        <v>726</v>
      </c>
      <c r="C78" s="46" t="s">
        <v>41</v>
      </c>
      <c r="D78" s="44" t="s">
        <v>735</v>
      </c>
      <c r="E78" s="47">
        <v>7887</v>
      </c>
      <c r="F78" s="46" t="s">
        <v>746</v>
      </c>
      <c r="G78" s="35">
        <v>13411</v>
      </c>
      <c r="H78" s="40">
        <v>13411</v>
      </c>
    </row>
    <row r="79" spans="1:8" s="15" customFormat="1" ht="26.1" customHeight="1" x14ac:dyDescent="0.2">
      <c r="A79" s="67" t="s">
        <v>1098</v>
      </c>
      <c r="B79" s="43" t="s">
        <v>769</v>
      </c>
      <c r="C79" s="46" t="s">
        <v>125</v>
      </c>
      <c r="D79" s="44" t="s">
        <v>629</v>
      </c>
      <c r="E79" s="47">
        <v>7893</v>
      </c>
      <c r="F79" s="46" t="s">
        <v>779</v>
      </c>
      <c r="G79" s="35">
        <v>13583</v>
      </c>
      <c r="H79" s="40">
        <v>13583</v>
      </c>
    </row>
    <row r="80" spans="1:8" s="15" customFormat="1" ht="26.1" customHeight="1" x14ac:dyDescent="0.2">
      <c r="A80" s="67" t="s">
        <v>1098</v>
      </c>
      <c r="B80" s="43" t="s">
        <v>546</v>
      </c>
      <c r="C80" s="46" t="s">
        <v>38</v>
      </c>
      <c r="D80" s="44" t="s">
        <v>562</v>
      </c>
      <c r="E80" s="47">
        <v>7323</v>
      </c>
      <c r="F80" s="46" t="s">
        <v>597</v>
      </c>
      <c r="G80" s="35">
        <v>13888</v>
      </c>
      <c r="H80" s="40">
        <v>13888</v>
      </c>
    </row>
    <row r="81" spans="1:8" s="15" customFormat="1" ht="26.1" customHeight="1" x14ac:dyDescent="0.2">
      <c r="A81" s="67" t="s">
        <v>1098</v>
      </c>
      <c r="B81" s="43" t="s">
        <v>803</v>
      </c>
      <c r="C81" s="46" t="s">
        <v>44</v>
      </c>
      <c r="D81" s="44" t="s">
        <v>806</v>
      </c>
      <c r="E81" s="47">
        <v>7980</v>
      </c>
      <c r="F81" s="46" t="s">
        <v>809</v>
      </c>
      <c r="G81" s="35">
        <f>7000+7000</f>
        <v>14000</v>
      </c>
      <c r="H81" s="40">
        <v>7000</v>
      </c>
    </row>
    <row r="82" spans="1:8" s="15" customFormat="1" ht="26.1" customHeight="1" x14ac:dyDescent="0.2">
      <c r="A82" s="67" t="s">
        <v>1098</v>
      </c>
      <c r="B82" s="43" t="s">
        <v>680</v>
      </c>
      <c r="C82" s="46" t="s">
        <v>41</v>
      </c>
      <c r="D82" s="44" t="s">
        <v>731</v>
      </c>
      <c r="E82" s="47">
        <v>7798</v>
      </c>
      <c r="F82" s="46" t="s">
        <v>696</v>
      </c>
      <c r="G82" s="35">
        <v>14414</v>
      </c>
      <c r="H82" s="40">
        <v>14414</v>
      </c>
    </row>
    <row r="83" spans="1:8" s="15" customFormat="1" ht="26.1" customHeight="1" x14ac:dyDescent="0.2">
      <c r="A83" s="67" t="s">
        <v>1098</v>
      </c>
      <c r="B83" s="43" t="s">
        <v>615</v>
      </c>
      <c r="C83" s="46" t="s">
        <v>619</v>
      </c>
      <c r="D83" s="44" t="s">
        <v>283</v>
      </c>
      <c r="E83" s="47">
        <v>7658</v>
      </c>
      <c r="F83" s="46" t="s">
        <v>298</v>
      </c>
      <c r="G83" s="35">
        <v>14500</v>
      </c>
      <c r="H83" s="40">
        <v>44500</v>
      </c>
    </row>
    <row r="84" spans="1:8" s="15" customFormat="1" ht="26.1" customHeight="1" x14ac:dyDescent="0.2">
      <c r="A84" s="67" t="s">
        <v>1098</v>
      </c>
      <c r="B84" s="43" t="s">
        <v>583</v>
      </c>
      <c r="C84" s="46" t="s">
        <v>42</v>
      </c>
      <c r="D84" s="44" t="s">
        <v>588</v>
      </c>
      <c r="E84" s="47">
        <v>7531</v>
      </c>
      <c r="F84" s="46" t="s">
        <v>595</v>
      </c>
      <c r="G84" s="35">
        <v>14525</v>
      </c>
      <c r="H84" s="40">
        <v>14525</v>
      </c>
    </row>
    <row r="85" spans="1:8" s="15" customFormat="1" ht="26.1" customHeight="1" x14ac:dyDescent="0.2">
      <c r="A85" s="67" t="s">
        <v>1098</v>
      </c>
      <c r="B85" s="43" t="s">
        <v>345</v>
      </c>
      <c r="C85" s="46" t="s">
        <v>47</v>
      </c>
      <c r="D85" s="44" t="s">
        <v>370</v>
      </c>
      <c r="E85" s="47">
        <v>7248</v>
      </c>
      <c r="F85" s="46" t="s">
        <v>393</v>
      </c>
      <c r="G85" s="35">
        <v>15000</v>
      </c>
      <c r="H85" s="40">
        <v>15000</v>
      </c>
    </row>
    <row r="86" spans="1:8" s="15" customFormat="1" ht="26.1" customHeight="1" x14ac:dyDescent="0.2">
      <c r="A86" s="67" t="s">
        <v>1098</v>
      </c>
      <c r="B86" s="43" t="s">
        <v>346</v>
      </c>
      <c r="C86" s="46" t="s">
        <v>47</v>
      </c>
      <c r="D86" s="44" t="s">
        <v>370</v>
      </c>
      <c r="E86" s="47">
        <v>7247</v>
      </c>
      <c r="F86" s="46" t="s">
        <v>338</v>
      </c>
      <c r="G86" s="35">
        <v>15000</v>
      </c>
      <c r="H86" s="40">
        <v>15000</v>
      </c>
    </row>
    <row r="87" spans="1:8" s="15" customFormat="1" ht="26.1" customHeight="1" x14ac:dyDescent="0.2">
      <c r="A87" s="67" t="s">
        <v>1098</v>
      </c>
      <c r="B87" s="43" t="s">
        <v>349</v>
      </c>
      <c r="C87" s="46" t="s">
        <v>47</v>
      </c>
      <c r="D87" s="44" t="s">
        <v>373</v>
      </c>
      <c r="E87" s="47">
        <v>7266</v>
      </c>
      <c r="F87" s="46" t="s">
        <v>337</v>
      </c>
      <c r="G87" s="35">
        <v>15000</v>
      </c>
      <c r="H87" s="40">
        <v>15000</v>
      </c>
    </row>
    <row r="88" spans="1:8" s="15" customFormat="1" ht="26.1" customHeight="1" x14ac:dyDescent="0.2">
      <c r="A88" s="67" t="s">
        <v>1098</v>
      </c>
      <c r="B88" s="43" t="s">
        <v>353</v>
      </c>
      <c r="C88" s="46" t="s">
        <v>47</v>
      </c>
      <c r="D88" s="44" t="s">
        <v>376</v>
      </c>
      <c r="E88" s="47">
        <v>7261</v>
      </c>
      <c r="F88" s="46" t="s">
        <v>392</v>
      </c>
      <c r="G88" s="35">
        <v>15000</v>
      </c>
      <c r="H88" s="40">
        <v>15000</v>
      </c>
    </row>
    <row r="89" spans="1:8" s="15" customFormat="1" ht="26.1" customHeight="1" x14ac:dyDescent="0.2">
      <c r="A89" s="67" t="s">
        <v>1098</v>
      </c>
      <c r="B89" s="43" t="s">
        <v>555</v>
      </c>
      <c r="C89" s="46" t="s">
        <v>558</v>
      </c>
      <c r="D89" s="44" t="s">
        <v>569</v>
      </c>
      <c r="E89" s="47">
        <v>7572</v>
      </c>
      <c r="F89" s="46" t="s">
        <v>580</v>
      </c>
      <c r="G89" s="35">
        <v>15000</v>
      </c>
      <c r="H89" s="40">
        <v>15000</v>
      </c>
    </row>
    <row r="90" spans="1:8" s="15" customFormat="1" ht="26.1" customHeight="1" x14ac:dyDescent="0.2">
      <c r="A90" s="67" t="s">
        <v>1098</v>
      </c>
      <c r="B90" s="43" t="s">
        <v>684</v>
      </c>
      <c r="C90" s="46" t="s">
        <v>39</v>
      </c>
      <c r="D90" s="44" t="s">
        <v>620</v>
      </c>
      <c r="E90" s="47">
        <v>7810</v>
      </c>
      <c r="F90" s="46" t="s">
        <v>699</v>
      </c>
      <c r="G90" s="35">
        <v>15000</v>
      </c>
      <c r="H90" s="40">
        <v>15000</v>
      </c>
    </row>
    <row r="91" spans="1:8" s="15" customFormat="1" ht="26.1" customHeight="1" x14ac:dyDescent="0.2">
      <c r="A91" s="67" t="s">
        <v>1098</v>
      </c>
      <c r="B91" s="43" t="s">
        <v>725</v>
      </c>
      <c r="C91" s="46" t="s">
        <v>315</v>
      </c>
      <c r="D91" s="44" t="s">
        <v>736</v>
      </c>
      <c r="E91" s="47">
        <v>7886</v>
      </c>
      <c r="F91" s="46" t="s">
        <v>745</v>
      </c>
      <c r="G91" s="35">
        <v>15000</v>
      </c>
      <c r="H91" s="40">
        <v>15000</v>
      </c>
    </row>
    <row r="92" spans="1:8" s="15" customFormat="1" ht="26.1" customHeight="1" x14ac:dyDescent="0.2">
      <c r="A92" s="67" t="s">
        <v>1098</v>
      </c>
      <c r="B92" s="43" t="s">
        <v>770</v>
      </c>
      <c r="C92" s="46" t="s">
        <v>315</v>
      </c>
      <c r="D92" s="44" t="s">
        <v>774</v>
      </c>
      <c r="E92" s="47" t="s">
        <v>778</v>
      </c>
      <c r="F92" s="46" t="s">
        <v>780</v>
      </c>
      <c r="G92" s="35">
        <v>15000</v>
      </c>
      <c r="H92" s="40">
        <v>15000</v>
      </c>
    </row>
    <row r="93" spans="1:8" s="15" customFormat="1" ht="26.1" customHeight="1" x14ac:dyDescent="0.2">
      <c r="A93" s="67" t="s">
        <v>1098</v>
      </c>
      <c r="B93" s="43" t="s">
        <v>812</v>
      </c>
      <c r="C93" s="46" t="s">
        <v>315</v>
      </c>
      <c r="D93" s="44" t="s">
        <v>818</v>
      </c>
      <c r="E93" s="47" t="s">
        <v>822</v>
      </c>
      <c r="F93" s="46" t="s">
        <v>823</v>
      </c>
      <c r="G93" s="35">
        <v>15000</v>
      </c>
      <c r="H93" s="40">
        <v>15000</v>
      </c>
    </row>
    <row r="94" spans="1:8" s="15" customFormat="1" ht="26.1" customHeight="1" x14ac:dyDescent="0.2">
      <c r="A94" s="67" t="s">
        <v>1098</v>
      </c>
      <c r="B94" s="43" t="s">
        <v>939</v>
      </c>
      <c r="C94" s="46" t="s">
        <v>47</v>
      </c>
      <c r="D94" s="44" t="s">
        <v>943</v>
      </c>
      <c r="E94" s="47">
        <v>8267</v>
      </c>
      <c r="F94" s="46" t="s">
        <v>949</v>
      </c>
      <c r="G94" s="35">
        <v>15000</v>
      </c>
      <c r="H94" s="35">
        <v>15000</v>
      </c>
    </row>
    <row r="95" spans="1:8" s="15" customFormat="1" ht="26.1" customHeight="1" x14ac:dyDescent="0.2">
      <c r="A95" s="67" t="s">
        <v>1098</v>
      </c>
      <c r="B95" s="43" t="s">
        <v>18</v>
      </c>
      <c r="C95" s="46" t="s">
        <v>36</v>
      </c>
      <c r="D95" s="45" t="s">
        <v>49</v>
      </c>
      <c r="E95" s="39">
        <v>6105</v>
      </c>
      <c r="F95" s="46" t="s">
        <v>67</v>
      </c>
      <c r="G95" s="35">
        <f>5038*3</f>
        <v>15114</v>
      </c>
      <c r="H95" s="40">
        <f>5038*3</f>
        <v>15114</v>
      </c>
    </row>
    <row r="96" spans="1:8" s="15" customFormat="1" ht="26.1" customHeight="1" x14ac:dyDescent="0.2">
      <c r="A96" s="67" t="s">
        <v>1098</v>
      </c>
      <c r="B96" s="43" t="s">
        <v>272</v>
      </c>
      <c r="C96" s="46" t="s">
        <v>159</v>
      </c>
      <c r="D96" s="44" t="s">
        <v>161</v>
      </c>
      <c r="E96" s="47" t="s">
        <v>293</v>
      </c>
      <c r="F96" s="46" t="s">
        <v>301</v>
      </c>
      <c r="G96" s="35">
        <v>15200</v>
      </c>
      <c r="H96" s="40">
        <v>5400</v>
      </c>
    </row>
    <row r="97" spans="1:8" s="15" customFormat="1" ht="26.1" customHeight="1" x14ac:dyDescent="0.2">
      <c r="A97" s="67" t="s">
        <v>1098</v>
      </c>
      <c r="B97" s="43" t="s">
        <v>227</v>
      </c>
      <c r="C97" s="46" t="s">
        <v>159</v>
      </c>
      <c r="D97" s="44" t="s">
        <v>232</v>
      </c>
      <c r="E97" s="47" t="s">
        <v>236</v>
      </c>
      <c r="F97" s="46" t="s">
        <v>237</v>
      </c>
      <c r="G97" s="35">
        <v>15522</v>
      </c>
      <c r="H97" s="40">
        <v>15522</v>
      </c>
    </row>
    <row r="98" spans="1:8" s="15" customFormat="1" ht="26.1" customHeight="1" x14ac:dyDescent="0.2">
      <c r="A98" s="67" t="s">
        <v>1098</v>
      </c>
      <c r="B98" s="43" t="s">
        <v>89</v>
      </c>
      <c r="C98" s="46" t="s">
        <v>94</v>
      </c>
      <c r="D98" s="44" t="s">
        <v>98</v>
      </c>
      <c r="E98" s="47" t="s">
        <v>104</v>
      </c>
      <c r="F98" s="46" t="s">
        <v>110</v>
      </c>
      <c r="G98" s="35">
        <f>8000*2</f>
        <v>16000</v>
      </c>
      <c r="H98" s="40">
        <v>5500</v>
      </c>
    </row>
    <row r="99" spans="1:8" s="15" customFormat="1" ht="26.1" customHeight="1" x14ac:dyDescent="0.2">
      <c r="A99" s="67" t="s">
        <v>1098</v>
      </c>
      <c r="B99" s="43" t="s">
        <v>675</v>
      </c>
      <c r="C99" s="46" t="s">
        <v>39</v>
      </c>
      <c r="D99" s="44" t="s">
        <v>441</v>
      </c>
      <c r="E99" s="47">
        <v>7773</v>
      </c>
      <c r="F99" s="46" t="s">
        <v>691</v>
      </c>
      <c r="G99" s="35">
        <v>16290</v>
      </c>
      <c r="H99" s="40">
        <v>16290</v>
      </c>
    </row>
    <row r="100" spans="1:8" s="15" customFormat="1" ht="26.1" customHeight="1" x14ac:dyDescent="0.2">
      <c r="A100" s="67" t="s">
        <v>1098</v>
      </c>
      <c r="B100" s="43" t="s">
        <v>91</v>
      </c>
      <c r="C100" s="46" t="s">
        <v>37</v>
      </c>
      <c r="D100" s="44" t="s">
        <v>50</v>
      </c>
      <c r="E100" s="47" t="s">
        <v>106</v>
      </c>
      <c r="F100" s="46" t="s">
        <v>112</v>
      </c>
      <c r="G100" s="49">
        <v>16640</v>
      </c>
      <c r="H100" s="50">
        <v>18000</v>
      </c>
    </row>
    <row r="101" spans="1:8" s="15" customFormat="1" ht="26.1" customHeight="1" x14ac:dyDescent="0.2">
      <c r="A101" s="67" t="s">
        <v>1098</v>
      </c>
      <c r="B101" s="43" t="s">
        <v>883</v>
      </c>
      <c r="C101" s="46" t="s">
        <v>46</v>
      </c>
      <c r="D101" s="44" t="s">
        <v>887</v>
      </c>
      <c r="E101" s="47">
        <v>8152</v>
      </c>
      <c r="F101" s="46" t="s">
        <v>892</v>
      </c>
      <c r="G101" s="35">
        <v>16735</v>
      </c>
      <c r="H101" s="35">
        <v>16735</v>
      </c>
    </row>
    <row r="102" spans="1:8" s="15" customFormat="1" ht="26.1" customHeight="1" x14ac:dyDescent="0.2">
      <c r="A102" s="67" t="s">
        <v>1098</v>
      </c>
      <c r="B102" s="43" t="s">
        <v>682</v>
      </c>
      <c r="C102" s="46" t="s">
        <v>159</v>
      </c>
      <c r="D102" s="44" t="s">
        <v>708</v>
      </c>
      <c r="E102" s="47">
        <v>7802</v>
      </c>
      <c r="F102" s="46" t="s">
        <v>698</v>
      </c>
      <c r="G102" s="35">
        <v>17000</v>
      </c>
      <c r="H102" s="40">
        <v>17000</v>
      </c>
    </row>
    <row r="103" spans="1:8" s="15" customFormat="1" ht="26.1" customHeight="1" x14ac:dyDescent="0.2">
      <c r="A103" s="67" t="s">
        <v>1098</v>
      </c>
      <c r="B103" s="43" t="s">
        <v>954</v>
      </c>
      <c r="C103" s="46" t="s">
        <v>940</v>
      </c>
      <c r="D103" s="44" t="s">
        <v>959</v>
      </c>
      <c r="E103" s="47">
        <v>8258</v>
      </c>
      <c r="F103" s="46" t="s">
        <v>967</v>
      </c>
      <c r="G103" s="35">
        <f>5055+6000+6500</f>
        <v>17555</v>
      </c>
      <c r="H103" s="35">
        <f>5055+6000+6500</f>
        <v>17555</v>
      </c>
    </row>
    <row r="104" spans="1:8" s="15" customFormat="1" ht="26.1" customHeight="1" x14ac:dyDescent="0.2">
      <c r="A104" s="67" t="s">
        <v>1098</v>
      </c>
      <c r="B104" s="43" t="s">
        <v>678</v>
      </c>
      <c r="C104" s="46" t="s">
        <v>125</v>
      </c>
      <c r="D104" s="44" t="s">
        <v>706</v>
      </c>
      <c r="E104" s="47">
        <v>7793</v>
      </c>
      <c r="F104" s="46" t="s">
        <v>694</v>
      </c>
      <c r="G104" s="35">
        <f>5997*3</f>
        <v>17991</v>
      </c>
      <c r="H104" s="40">
        <f>5997*3</f>
        <v>17991</v>
      </c>
    </row>
    <row r="105" spans="1:8" s="15" customFormat="1" ht="26.1" customHeight="1" x14ac:dyDescent="0.2">
      <c r="A105" s="67" t="s">
        <v>1098</v>
      </c>
      <c r="B105" s="43" t="s">
        <v>23</v>
      </c>
      <c r="C105" s="46" t="s">
        <v>41</v>
      </c>
      <c r="D105" s="44" t="s">
        <v>54</v>
      </c>
      <c r="E105" s="34">
        <v>6337</v>
      </c>
      <c r="F105" s="46" t="s">
        <v>72</v>
      </c>
      <c r="G105" s="35">
        <v>18529</v>
      </c>
      <c r="H105" s="40">
        <v>18529</v>
      </c>
    </row>
    <row r="106" spans="1:8" s="15" customFormat="1" ht="26.1" customHeight="1" x14ac:dyDescent="0.2">
      <c r="A106" s="67" t="s">
        <v>1098</v>
      </c>
      <c r="B106" s="43" t="s">
        <v>548</v>
      </c>
      <c r="C106" s="46" t="s">
        <v>41</v>
      </c>
      <c r="D106" s="44" t="s">
        <v>54</v>
      </c>
      <c r="E106" s="47">
        <v>7431</v>
      </c>
      <c r="F106" s="46" t="s">
        <v>573</v>
      </c>
      <c r="G106" s="35">
        <v>18529</v>
      </c>
      <c r="H106" s="40">
        <v>18529</v>
      </c>
    </row>
    <row r="107" spans="1:8" s="15" customFormat="1" ht="26.1" customHeight="1" x14ac:dyDescent="0.2">
      <c r="A107" s="67" t="s">
        <v>1098</v>
      </c>
      <c r="B107" s="43" t="s">
        <v>628</v>
      </c>
      <c r="C107" s="43" t="s">
        <v>41</v>
      </c>
      <c r="D107" s="43" t="s">
        <v>54</v>
      </c>
      <c r="E107" s="47">
        <v>7683</v>
      </c>
      <c r="F107" s="46" t="s">
        <v>637</v>
      </c>
      <c r="G107" s="35">
        <v>18529</v>
      </c>
      <c r="H107" s="40">
        <v>18529</v>
      </c>
    </row>
    <row r="108" spans="1:8" s="15" customFormat="1" ht="26.1" customHeight="1" x14ac:dyDescent="0.2">
      <c r="A108" s="67" t="s">
        <v>1098</v>
      </c>
      <c r="B108" s="43" t="s">
        <v>834</v>
      </c>
      <c r="C108" s="46" t="s">
        <v>41</v>
      </c>
      <c r="D108" s="44" t="s">
        <v>54</v>
      </c>
      <c r="E108" s="47">
        <v>8049</v>
      </c>
      <c r="F108" s="46" t="s">
        <v>854</v>
      </c>
      <c r="G108" s="35">
        <v>18529</v>
      </c>
      <c r="H108" s="40">
        <v>18529</v>
      </c>
    </row>
    <row r="109" spans="1:8" s="15" customFormat="1" ht="26.1" customHeight="1" x14ac:dyDescent="0.2">
      <c r="A109" s="67" t="s">
        <v>1098</v>
      </c>
      <c r="B109" s="43" t="s">
        <v>773</v>
      </c>
      <c r="C109" s="46" t="s">
        <v>44</v>
      </c>
      <c r="D109" s="44" t="s">
        <v>777</v>
      </c>
      <c r="E109" s="47">
        <v>7839</v>
      </c>
      <c r="F109" s="46" t="s">
        <v>783</v>
      </c>
      <c r="G109" s="35">
        <v>18530</v>
      </c>
      <c r="H109" s="40">
        <v>18530</v>
      </c>
    </row>
    <row r="110" spans="1:8" s="15" customFormat="1" ht="26.1" customHeight="1" x14ac:dyDescent="0.2">
      <c r="A110" s="67" t="s">
        <v>1098</v>
      </c>
      <c r="B110" s="43" t="s">
        <v>1002</v>
      </c>
      <c r="C110" s="46" t="s">
        <v>41</v>
      </c>
      <c r="D110" s="44" t="s">
        <v>731</v>
      </c>
      <c r="E110" s="47">
        <v>8372</v>
      </c>
      <c r="F110" s="46" t="s">
        <v>1016</v>
      </c>
      <c r="G110" s="35">
        <v>18570</v>
      </c>
      <c r="H110" s="35">
        <v>18570</v>
      </c>
    </row>
    <row r="111" spans="1:8" s="15" customFormat="1" ht="26.1" customHeight="1" x14ac:dyDescent="0.2">
      <c r="A111" s="67" t="s">
        <v>1098</v>
      </c>
      <c r="B111" s="43" t="s">
        <v>401</v>
      </c>
      <c r="C111" s="46" t="s">
        <v>159</v>
      </c>
      <c r="D111" s="44" t="s">
        <v>407</v>
      </c>
      <c r="E111" s="34">
        <v>6894</v>
      </c>
      <c r="F111" s="46" t="s">
        <v>398</v>
      </c>
      <c r="G111" s="35">
        <v>19000</v>
      </c>
      <c r="H111" s="40">
        <v>19000</v>
      </c>
    </row>
    <row r="112" spans="1:8" s="15" customFormat="1" ht="26.1" customHeight="1" x14ac:dyDescent="0.2">
      <c r="A112" s="67" t="s">
        <v>1098</v>
      </c>
      <c r="B112" s="43" t="s">
        <v>936</v>
      </c>
      <c r="C112" s="46" t="s">
        <v>39</v>
      </c>
      <c r="D112" s="44" t="s">
        <v>648</v>
      </c>
      <c r="E112" s="47">
        <v>8232</v>
      </c>
      <c r="F112" s="46" t="s">
        <v>946</v>
      </c>
      <c r="G112" s="35">
        <v>19600</v>
      </c>
      <c r="H112" s="35">
        <v>19600</v>
      </c>
    </row>
    <row r="113" spans="1:8" s="15" customFormat="1" ht="26.1" customHeight="1" x14ac:dyDescent="0.2">
      <c r="A113" s="67" t="s">
        <v>1098</v>
      </c>
      <c r="B113" s="43" t="s">
        <v>987</v>
      </c>
      <c r="C113" s="46" t="s">
        <v>41</v>
      </c>
      <c r="D113" s="44" t="s">
        <v>735</v>
      </c>
      <c r="E113" s="47">
        <v>8324</v>
      </c>
      <c r="F113" s="46" t="s">
        <v>999</v>
      </c>
      <c r="G113" s="35">
        <v>19629</v>
      </c>
      <c r="H113" s="35">
        <v>19629</v>
      </c>
    </row>
    <row r="114" spans="1:8" s="15" customFormat="1" ht="26.1" customHeight="1" x14ac:dyDescent="0.2">
      <c r="A114" s="67" t="s">
        <v>1098</v>
      </c>
      <c r="B114" s="43" t="s">
        <v>1023</v>
      </c>
      <c r="C114" s="46" t="s">
        <v>46</v>
      </c>
      <c r="D114" s="44" t="s">
        <v>888</v>
      </c>
      <c r="E114" s="47" t="s">
        <v>65</v>
      </c>
      <c r="F114" s="46" t="s">
        <v>1037</v>
      </c>
      <c r="G114" s="35">
        <f>6665*3</f>
        <v>19995</v>
      </c>
      <c r="H114" s="35">
        <f>6665*3</f>
        <v>19995</v>
      </c>
    </row>
    <row r="115" spans="1:8" s="15" customFormat="1" ht="26.1" customHeight="1" x14ac:dyDescent="0.2">
      <c r="A115" s="67" t="s">
        <v>1098</v>
      </c>
      <c r="B115" s="43" t="s">
        <v>25</v>
      </c>
      <c r="C115" s="46" t="s">
        <v>38</v>
      </c>
      <c r="D115" s="44" t="s">
        <v>56</v>
      </c>
      <c r="E115" s="47">
        <v>6368</v>
      </c>
      <c r="F115" s="46" t="s">
        <v>76</v>
      </c>
      <c r="G115" s="35">
        <v>20000</v>
      </c>
      <c r="H115" s="40">
        <v>20000</v>
      </c>
    </row>
    <row r="116" spans="1:8" s="15" customFormat="1" ht="26.1" customHeight="1" x14ac:dyDescent="0.2">
      <c r="A116" s="67" t="s">
        <v>1098</v>
      </c>
      <c r="B116" s="43" t="s">
        <v>88</v>
      </c>
      <c r="C116" s="46" t="s">
        <v>94</v>
      </c>
      <c r="D116" s="44" t="s">
        <v>97</v>
      </c>
      <c r="E116" s="47" t="s">
        <v>103</v>
      </c>
      <c r="F116" s="46" t="s">
        <v>109</v>
      </c>
      <c r="G116" s="35">
        <f>10000*2</f>
        <v>20000</v>
      </c>
      <c r="H116" s="40">
        <v>15000</v>
      </c>
    </row>
    <row r="117" spans="1:8" s="15" customFormat="1" ht="26.1" customHeight="1" x14ac:dyDescent="0.2">
      <c r="A117" s="67" t="s">
        <v>1098</v>
      </c>
      <c r="B117" s="43" t="s">
        <v>348</v>
      </c>
      <c r="C117" s="46" t="s">
        <v>47</v>
      </c>
      <c r="D117" s="44" t="s">
        <v>372</v>
      </c>
      <c r="E117" s="47">
        <v>7267</v>
      </c>
      <c r="F117" s="46" t="s">
        <v>389</v>
      </c>
      <c r="G117" s="35">
        <v>20000</v>
      </c>
      <c r="H117" s="40">
        <v>20000</v>
      </c>
    </row>
    <row r="118" spans="1:8" s="15" customFormat="1" ht="26.1" customHeight="1" x14ac:dyDescent="0.2">
      <c r="A118" s="67" t="s">
        <v>1098</v>
      </c>
      <c r="B118" s="43" t="s">
        <v>350</v>
      </c>
      <c r="C118" s="46" t="s">
        <v>47</v>
      </c>
      <c r="D118" s="44" t="s">
        <v>374</v>
      </c>
      <c r="E118" s="47">
        <v>7265</v>
      </c>
      <c r="F118" s="46" t="s">
        <v>338</v>
      </c>
      <c r="G118" s="35">
        <v>20000</v>
      </c>
      <c r="H118" s="40">
        <v>20000</v>
      </c>
    </row>
    <row r="119" spans="1:8" s="15" customFormat="1" ht="26.1" customHeight="1" x14ac:dyDescent="0.2">
      <c r="A119" s="67" t="s">
        <v>1098</v>
      </c>
      <c r="B119" s="43" t="s">
        <v>351</v>
      </c>
      <c r="C119" s="46" t="s">
        <v>47</v>
      </c>
      <c r="D119" s="44" t="s">
        <v>375</v>
      </c>
      <c r="E119" s="47">
        <v>7264</v>
      </c>
      <c r="F119" s="46" t="s">
        <v>338</v>
      </c>
      <c r="G119" s="35">
        <v>20000</v>
      </c>
      <c r="H119" s="40">
        <v>20000</v>
      </c>
    </row>
    <row r="120" spans="1:8" s="15" customFormat="1" ht="26.1" customHeight="1" x14ac:dyDescent="0.2">
      <c r="A120" s="67" t="s">
        <v>1098</v>
      </c>
      <c r="B120" s="43" t="s">
        <v>352</v>
      </c>
      <c r="C120" s="46" t="s">
        <v>47</v>
      </c>
      <c r="D120" s="44" t="s">
        <v>376</v>
      </c>
      <c r="E120" s="47">
        <v>7262</v>
      </c>
      <c r="F120" s="46" t="s">
        <v>391</v>
      </c>
      <c r="G120" s="35">
        <v>20000</v>
      </c>
      <c r="H120" s="40">
        <v>20000</v>
      </c>
    </row>
    <row r="121" spans="1:8" s="15" customFormat="1" ht="26.1" customHeight="1" x14ac:dyDescent="0.2">
      <c r="A121" s="67" t="s">
        <v>1098</v>
      </c>
      <c r="B121" s="43" t="s">
        <v>354</v>
      </c>
      <c r="C121" s="46" t="s">
        <v>47</v>
      </c>
      <c r="D121" s="44" t="s">
        <v>376</v>
      </c>
      <c r="E121" s="47">
        <v>7260</v>
      </c>
      <c r="F121" s="46" t="s">
        <v>337</v>
      </c>
      <c r="G121" s="35">
        <v>20000</v>
      </c>
      <c r="H121" s="40">
        <v>20000</v>
      </c>
    </row>
    <row r="122" spans="1:8" s="15" customFormat="1" ht="26.1" customHeight="1" x14ac:dyDescent="0.2">
      <c r="A122" s="67" t="s">
        <v>1098</v>
      </c>
      <c r="B122" s="43" t="s">
        <v>356</v>
      </c>
      <c r="C122" s="46" t="s">
        <v>47</v>
      </c>
      <c r="D122" s="44" t="s">
        <v>378</v>
      </c>
      <c r="E122" s="47">
        <v>7246</v>
      </c>
      <c r="F122" s="46" t="s">
        <v>338</v>
      </c>
      <c r="G122" s="35">
        <v>20000</v>
      </c>
      <c r="H122" s="40">
        <v>20000</v>
      </c>
    </row>
    <row r="123" spans="1:8" s="15" customFormat="1" ht="26.1" customHeight="1" x14ac:dyDescent="0.2">
      <c r="A123" s="67" t="s">
        <v>1098</v>
      </c>
      <c r="B123" s="43" t="s">
        <v>358</v>
      </c>
      <c r="C123" s="46" t="s">
        <v>47</v>
      </c>
      <c r="D123" s="44" t="s">
        <v>380</v>
      </c>
      <c r="E123" s="47">
        <v>7244</v>
      </c>
      <c r="F123" s="46" t="s">
        <v>338</v>
      </c>
      <c r="G123" s="35">
        <v>20000</v>
      </c>
      <c r="H123" s="35">
        <v>20000</v>
      </c>
    </row>
    <row r="124" spans="1:8" s="15" customFormat="1" ht="26.1" customHeight="1" x14ac:dyDescent="0.2">
      <c r="A124" s="67" t="s">
        <v>1098</v>
      </c>
      <c r="B124" s="43" t="s">
        <v>359</v>
      </c>
      <c r="C124" s="46" t="s">
        <v>47</v>
      </c>
      <c r="D124" s="44" t="s">
        <v>381</v>
      </c>
      <c r="E124" s="47">
        <v>7243</v>
      </c>
      <c r="F124" s="46" t="s">
        <v>338</v>
      </c>
      <c r="G124" s="35">
        <v>20000</v>
      </c>
      <c r="H124" s="35">
        <v>20000</v>
      </c>
    </row>
    <row r="125" spans="1:8" s="15" customFormat="1" ht="26.1" customHeight="1" x14ac:dyDescent="0.2">
      <c r="A125" s="67" t="s">
        <v>1098</v>
      </c>
      <c r="B125" s="43" t="s">
        <v>361</v>
      </c>
      <c r="C125" s="46" t="s">
        <v>47</v>
      </c>
      <c r="D125" s="44" t="s">
        <v>382</v>
      </c>
      <c r="E125" s="47">
        <v>7241</v>
      </c>
      <c r="F125" s="46" t="s">
        <v>338</v>
      </c>
      <c r="G125" s="35">
        <v>20000</v>
      </c>
      <c r="H125" s="40">
        <v>20000</v>
      </c>
    </row>
    <row r="126" spans="1:8" s="15" customFormat="1" ht="26.1" customHeight="1" x14ac:dyDescent="0.2">
      <c r="A126" s="67" t="s">
        <v>1098</v>
      </c>
      <c r="B126" s="43" t="s">
        <v>364</v>
      </c>
      <c r="C126" s="46" t="s">
        <v>47</v>
      </c>
      <c r="D126" s="44" t="s">
        <v>384</v>
      </c>
      <c r="E126" s="47">
        <v>7169</v>
      </c>
      <c r="F126" s="46" t="s">
        <v>389</v>
      </c>
      <c r="G126" s="35">
        <v>20000</v>
      </c>
      <c r="H126" s="40">
        <v>20000</v>
      </c>
    </row>
    <row r="127" spans="1:8" s="15" customFormat="1" ht="26.1" customHeight="1" x14ac:dyDescent="0.2">
      <c r="A127" s="67" t="s">
        <v>1098</v>
      </c>
      <c r="B127" s="43" t="s">
        <v>365</v>
      </c>
      <c r="C127" s="46" t="s">
        <v>47</v>
      </c>
      <c r="D127" s="44" t="s">
        <v>385</v>
      </c>
      <c r="E127" s="47">
        <v>7168</v>
      </c>
      <c r="F127" s="46" t="s">
        <v>338</v>
      </c>
      <c r="G127" s="35">
        <v>20000</v>
      </c>
      <c r="H127" s="40">
        <v>20000</v>
      </c>
    </row>
    <row r="128" spans="1:8" s="15" customFormat="1" ht="26.1" customHeight="1" x14ac:dyDescent="0.2">
      <c r="A128" s="67" t="s">
        <v>1098</v>
      </c>
      <c r="B128" s="43" t="s">
        <v>677</v>
      </c>
      <c r="C128" s="46" t="s">
        <v>39</v>
      </c>
      <c r="D128" s="44" t="s">
        <v>705</v>
      </c>
      <c r="E128" s="47" t="s">
        <v>714</v>
      </c>
      <c r="F128" s="46" t="s">
        <v>693</v>
      </c>
      <c r="G128" s="35">
        <v>20000</v>
      </c>
      <c r="H128" s="40">
        <v>24000</v>
      </c>
    </row>
    <row r="129" spans="1:8" s="15" customFormat="1" ht="26.1" customHeight="1" x14ac:dyDescent="0.2">
      <c r="A129" s="67" t="s">
        <v>1098</v>
      </c>
      <c r="B129" s="43" t="s">
        <v>772</v>
      </c>
      <c r="C129" s="46" t="s">
        <v>145</v>
      </c>
      <c r="D129" s="44" t="s">
        <v>776</v>
      </c>
      <c r="E129" s="47">
        <v>8056</v>
      </c>
      <c r="F129" s="46" t="s">
        <v>782</v>
      </c>
      <c r="G129" s="35">
        <v>20000</v>
      </c>
      <c r="H129" s="40">
        <v>20000</v>
      </c>
    </row>
    <row r="130" spans="1:8" s="15" customFormat="1" ht="26.1" customHeight="1" x14ac:dyDescent="0.2">
      <c r="A130" s="67" t="s">
        <v>1098</v>
      </c>
      <c r="B130" s="43" t="s">
        <v>788</v>
      </c>
      <c r="C130" s="46" t="s">
        <v>46</v>
      </c>
      <c r="D130" s="44" t="s">
        <v>791</v>
      </c>
      <c r="E130" s="47" t="s">
        <v>794</v>
      </c>
      <c r="F130" s="46" t="s">
        <v>795</v>
      </c>
      <c r="G130" s="35">
        <v>20000</v>
      </c>
      <c r="H130" s="40">
        <v>30000</v>
      </c>
    </row>
    <row r="131" spans="1:8" s="15" customFormat="1" ht="26.1" customHeight="1" x14ac:dyDescent="0.2">
      <c r="A131" s="67" t="s">
        <v>1098</v>
      </c>
      <c r="B131" s="43" t="s">
        <v>865</v>
      </c>
      <c r="C131" s="46" t="s">
        <v>40</v>
      </c>
      <c r="D131" s="44" t="s">
        <v>53</v>
      </c>
      <c r="E131" s="47" t="s">
        <v>879</v>
      </c>
      <c r="F131" s="46" t="s">
        <v>871</v>
      </c>
      <c r="G131" s="35">
        <v>20000</v>
      </c>
      <c r="H131" s="35">
        <v>20000</v>
      </c>
    </row>
    <row r="132" spans="1:8" s="15" customFormat="1" ht="26.1" customHeight="1" x14ac:dyDescent="0.2">
      <c r="A132" s="67" t="s">
        <v>1098</v>
      </c>
      <c r="B132" s="43" t="s">
        <v>986</v>
      </c>
      <c r="C132" s="46" t="s">
        <v>44</v>
      </c>
      <c r="D132" s="44" t="s">
        <v>991</v>
      </c>
      <c r="E132" s="47" t="s">
        <v>994</v>
      </c>
      <c r="F132" s="46" t="s">
        <v>1000</v>
      </c>
      <c r="G132" s="35">
        <f>10000+10000</f>
        <v>20000</v>
      </c>
      <c r="H132" s="35">
        <v>25000</v>
      </c>
    </row>
    <row r="133" spans="1:8" s="15" customFormat="1" ht="26.1" customHeight="1" x14ac:dyDescent="0.2">
      <c r="A133" s="67" t="s">
        <v>1098</v>
      </c>
      <c r="B133" s="43" t="s">
        <v>989</v>
      </c>
      <c r="C133" s="46" t="s">
        <v>40</v>
      </c>
      <c r="D133" s="44" t="s">
        <v>993</v>
      </c>
      <c r="E133" s="47">
        <v>8332</v>
      </c>
      <c r="F133" s="46" t="s">
        <v>997</v>
      </c>
      <c r="G133" s="35">
        <v>20000</v>
      </c>
      <c r="H133" s="35">
        <v>20000</v>
      </c>
    </row>
    <row r="134" spans="1:8" s="15" customFormat="1" ht="26.1" customHeight="1" x14ac:dyDescent="0.2">
      <c r="A134" s="67" t="s">
        <v>1098</v>
      </c>
      <c r="B134" s="43" t="s">
        <v>606</v>
      </c>
      <c r="C134" s="46" t="s">
        <v>42</v>
      </c>
      <c r="D134" s="44" t="s">
        <v>55</v>
      </c>
      <c r="E134" s="47">
        <v>7553</v>
      </c>
      <c r="F134" s="46" t="s">
        <v>599</v>
      </c>
      <c r="G134" s="35">
        <v>20300</v>
      </c>
      <c r="H134" s="40">
        <v>33600</v>
      </c>
    </row>
    <row r="135" spans="1:8" s="15" customFormat="1" ht="26.1" customHeight="1" x14ac:dyDescent="0.2">
      <c r="A135" s="67" t="s">
        <v>1098</v>
      </c>
      <c r="B135" s="43" t="s">
        <v>586</v>
      </c>
      <c r="C135" s="46" t="s">
        <v>125</v>
      </c>
      <c r="D135" s="44" t="s">
        <v>590</v>
      </c>
      <c r="E135" s="47">
        <v>7583</v>
      </c>
      <c r="F135" s="46" t="s">
        <v>593</v>
      </c>
      <c r="G135" s="35">
        <f>6800*3</f>
        <v>20400</v>
      </c>
      <c r="H135" s="40">
        <f>6800*3</f>
        <v>20400</v>
      </c>
    </row>
    <row r="136" spans="1:8" s="15" customFormat="1" ht="26.1" customHeight="1" x14ac:dyDescent="0.2">
      <c r="A136" s="67" t="s">
        <v>1098</v>
      </c>
      <c r="B136" s="43" t="s">
        <v>273</v>
      </c>
      <c r="C136" s="46" t="s">
        <v>159</v>
      </c>
      <c r="D136" s="44" t="s">
        <v>286</v>
      </c>
      <c r="E136" s="47">
        <v>7058</v>
      </c>
      <c r="F136" s="46" t="s">
        <v>302</v>
      </c>
      <c r="G136" s="35">
        <v>20750</v>
      </c>
      <c r="H136" s="40">
        <v>20750</v>
      </c>
    </row>
    <row r="137" spans="1:8" s="15" customFormat="1" ht="26.1" customHeight="1" x14ac:dyDescent="0.2">
      <c r="A137" s="67" t="s">
        <v>1098</v>
      </c>
      <c r="B137" s="43" t="s">
        <v>955</v>
      </c>
      <c r="C137" s="46" t="s">
        <v>940</v>
      </c>
      <c r="D137" s="44" t="s">
        <v>960</v>
      </c>
      <c r="E137" s="47" t="s">
        <v>963</v>
      </c>
      <c r="F137" s="46" t="s">
        <v>968</v>
      </c>
      <c r="G137" s="35">
        <v>21000</v>
      </c>
      <c r="H137" s="35">
        <v>15000</v>
      </c>
    </row>
    <row r="138" spans="1:8" s="15" customFormat="1" ht="26.1" customHeight="1" x14ac:dyDescent="0.2">
      <c r="A138" s="67" t="s">
        <v>1098</v>
      </c>
      <c r="B138" s="43" t="s">
        <v>1084</v>
      </c>
      <c r="C138" s="46" t="s">
        <v>940</v>
      </c>
      <c r="D138" s="44" t="s">
        <v>962</v>
      </c>
      <c r="E138" s="47" t="s">
        <v>1086</v>
      </c>
      <c r="F138" s="46" t="s">
        <v>1087</v>
      </c>
      <c r="G138" s="35">
        <v>21000</v>
      </c>
      <c r="H138" s="35">
        <v>28000</v>
      </c>
    </row>
    <row r="139" spans="1:8" s="15" customFormat="1" ht="26.1" customHeight="1" x14ac:dyDescent="0.2">
      <c r="A139" s="67" t="s">
        <v>1098</v>
      </c>
      <c r="B139" s="43" t="s">
        <v>642</v>
      </c>
      <c r="C139" s="46" t="s">
        <v>39</v>
      </c>
      <c r="D139" s="44" t="s">
        <v>649</v>
      </c>
      <c r="E139" s="47" t="s">
        <v>643</v>
      </c>
      <c r="F139" s="46" t="s">
        <v>645</v>
      </c>
      <c r="G139" s="35">
        <v>21500</v>
      </c>
      <c r="H139" s="40">
        <v>24000</v>
      </c>
    </row>
    <row r="140" spans="1:8" s="15" customFormat="1" ht="26.1" customHeight="1" x14ac:dyDescent="0.2">
      <c r="A140" s="67" t="s">
        <v>1098</v>
      </c>
      <c r="B140" s="43" t="s">
        <v>623</v>
      </c>
      <c r="C140" s="46" t="s">
        <v>125</v>
      </c>
      <c r="D140" s="44" t="s">
        <v>629</v>
      </c>
      <c r="E140" s="47">
        <v>7456</v>
      </c>
      <c r="F140" s="46" t="s">
        <v>638</v>
      </c>
      <c r="G140" s="35">
        <v>21650</v>
      </c>
      <c r="H140" s="40">
        <v>21650</v>
      </c>
    </row>
    <row r="141" spans="1:8" s="15" customFormat="1" ht="26.1" customHeight="1" x14ac:dyDescent="0.2">
      <c r="A141" s="67" t="s">
        <v>1098</v>
      </c>
      <c r="B141" s="43" t="s">
        <v>787</v>
      </c>
      <c r="C141" s="46" t="s">
        <v>42</v>
      </c>
      <c r="D141" s="44" t="s">
        <v>55</v>
      </c>
      <c r="E141" s="47" t="s">
        <v>793</v>
      </c>
      <c r="F141" s="46" t="s">
        <v>796</v>
      </c>
      <c r="G141" s="35">
        <v>22400</v>
      </c>
      <c r="H141" s="40">
        <v>33600</v>
      </c>
    </row>
    <row r="142" spans="1:8" s="15" customFormat="1" ht="26.1" customHeight="1" x14ac:dyDescent="0.2">
      <c r="A142" s="67" t="s">
        <v>1098</v>
      </c>
      <c r="B142" s="43" t="s">
        <v>402</v>
      </c>
      <c r="C142" s="46" t="s">
        <v>159</v>
      </c>
      <c r="D142" s="44" t="s">
        <v>407</v>
      </c>
      <c r="E142" s="34">
        <v>6903</v>
      </c>
      <c r="F142" s="46" t="s">
        <v>396</v>
      </c>
      <c r="G142" s="35">
        <v>23500</v>
      </c>
      <c r="H142" s="40">
        <v>23500</v>
      </c>
    </row>
    <row r="143" spans="1:8" s="15" customFormat="1" ht="26.1" customHeight="1" x14ac:dyDescent="0.2">
      <c r="A143" s="67" t="s">
        <v>1098</v>
      </c>
      <c r="B143" s="43" t="s">
        <v>937</v>
      </c>
      <c r="C143" s="46" t="s">
        <v>41</v>
      </c>
      <c r="D143" s="44" t="s">
        <v>54</v>
      </c>
      <c r="E143" s="47">
        <v>8240</v>
      </c>
      <c r="F143" s="46" t="s">
        <v>947</v>
      </c>
      <c r="G143" s="35">
        <v>23849</v>
      </c>
      <c r="H143" s="35">
        <v>23849</v>
      </c>
    </row>
    <row r="144" spans="1:8" s="15" customFormat="1" ht="26.1" customHeight="1" x14ac:dyDescent="0.2">
      <c r="A144" s="67" t="s">
        <v>1098</v>
      </c>
      <c r="B144" s="43" t="s">
        <v>90</v>
      </c>
      <c r="C144" s="46" t="s">
        <v>94</v>
      </c>
      <c r="D144" s="44" t="s">
        <v>99</v>
      </c>
      <c r="E144" s="47" t="s">
        <v>105</v>
      </c>
      <c r="F144" s="46" t="s">
        <v>111</v>
      </c>
      <c r="G144" s="35">
        <f>12000*2</f>
        <v>24000</v>
      </c>
      <c r="H144" s="40">
        <v>7500</v>
      </c>
    </row>
    <row r="145" spans="1:8" s="15" customFormat="1" ht="26.1" customHeight="1" x14ac:dyDescent="0.2">
      <c r="A145" s="67" t="s">
        <v>1098</v>
      </c>
      <c r="B145" s="43" t="s">
        <v>230</v>
      </c>
      <c r="C145" s="46" t="s">
        <v>44</v>
      </c>
      <c r="D145" s="44" t="s">
        <v>235</v>
      </c>
      <c r="E145" s="47">
        <v>6358</v>
      </c>
      <c r="F145" s="46" t="s">
        <v>241</v>
      </c>
      <c r="G145" s="35">
        <v>24000</v>
      </c>
      <c r="H145" s="40">
        <v>24000</v>
      </c>
    </row>
    <row r="146" spans="1:8" s="15" customFormat="1" ht="26.1" customHeight="1" x14ac:dyDescent="0.2">
      <c r="A146" s="67" t="s">
        <v>1098</v>
      </c>
      <c r="B146" s="43" t="s">
        <v>1021</v>
      </c>
      <c r="C146" s="46" t="s">
        <v>1024</v>
      </c>
      <c r="D146" s="44" t="s">
        <v>1027</v>
      </c>
      <c r="E146" s="47">
        <v>8457</v>
      </c>
      <c r="F146" s="46" t="s">
        <v>1035</v>
      </c>
      <c r="G146" s="35">
        <v>24000</v>
      </c>
      <c r="H146" s="35">
        <v>24000</v>
      </c>
    </row>
    <row r="147" spans="1:8" s="15" customFormat="1" ht="26.1" customHeight="1" x14ac:dyDescent="0.2">
      <c r="A147" s="67" t="s">
        <v>1098</v>
      </c>
      <c r="B147" s="43" t="s">
        <v>153</v>
      </c>
      <c r="C147" s="46" t="s">
        <v>46</v>
      </c>
      <c r="D147" s="44" t="s">
        <v>154</v>
      </c>
      <c r="E147" s="47" t="s">
        <v>65</v>
      </c>
      <c r="F147" s="55" t="s">
        <v>155</v>
      </c>
      <c r="G147" s="35">
        <v>24170</v>
      </c>
      <c r="H147" s="40">
        <v>702341</v>
      </c>
    </row>
    <row r="148" spans="1:8" s="15" customFormat="1" ht="26.1" customHeight="1" x14ac:dyDescent="0.2">
      <c r="A148" s="67" t="s">
        <v>1098</v>
      </c>
      <c r="B148" s="43" t="s">
        <v>927</v>
      </c>
      <c r="C148" s="46" t="s">
        <v>41</v>
      </c>
      <c r="D148" s="44" t="s">
        <v>538</v>
      </c>
      <c r="E148" s="47">
        <v>8215</v>
      </c>
      <c r="F148" s="46" t="s">
        <v>764</v>
      </c>
      <c r="G148" s="35">
        <v>24500</v>
      </c>
      <c r="H148" s="35">
        <v>22330</v>
      </c>
    </row>
    <row r="149" spans="1:8" s="15" customFormat="1" ht="26.1" customHeight="1" x14ac:dyDescent="0.2">
      <c r="A149" s="67" t="s">
        <v>1098</v>
      </c>
      <c r="B149" s="43" t="s">
        <v>842</v>
      </c>
      <c r="C149" s="46" t="s">
        <v>94</v>
      </c>
      <c r="D149" s="44" t="s">
        <v>850</v>
      </c>
      <c r="E149" s="47">
        <v>8131</v>
      </c>
      <c r="F149" s="46" t="s">
        <v>860</v>
      </c>
      <c r="G149" s="35">
        <f>8267*3</f>
        <v>24801</v>
      </c>
      <c r="H149" s="40">
        <f>8267*3</f>
        <v>24801</v>
      </c>
    </row>
    <row r="150" spans="1:8" s="15" customFormat="1" ht="26.1" customHeight="1" x14ac:dyDescent="0.2">
      <c r="A150" s="67" t="s">
        <v>1098</v>
      </c>
      <c r="B150" s="43" t="s">
        <v>248</v>
      </c>
      <c r="C150" s="46" t="s">
        <v>40</v>
      </c>
      <c r="D150" s="44" t="s">
        <v>255</v>
      </c>
      <c r="E150" s="34">
        <v>6892</v>
      </c>
      <c r="F150" s="46" t="s">
        <v>263</v>
      </c>
      <c r="G150" s="35">
        <v>25000</v>
      </c>
      <c r="H150" s="40">
        <v>25000</v>
      </c>
    </row>
    <row r="151" spans="1:8" s="15" customFormat="1" ht="26.1" customHeight="1" x14ac:dyDescent="0.2">
      <c r="A151" s="67" t="s">
        <v>1098</v>
      </c>
      <c r="B151" s="43" t="s">
        <v>275</v>
      </c>
      <c r="C151" s="46" t="s">
        <v>159</v>
      </c>
      <c r="D151" s="44" t="s">
        <v>288</v>
      </c>
      <c r="E151" s="34">
        <v>7061</v>
      </c>
      <c r="F151" s="46" t="s">
        <v>304</v>
      </c>
      <c r="G151" s="35">
        <v>25000</v>
      </c>
      <c r="H151" s="40">
        <v>25000</v>
      </c>
    </row>
    <row r="152" spans="1:8" s="15" customFormat="1" ht="26.1" customHeight="1" x14ac:dyDescent="0.2">
      <c r="A152" s="67" t="s">
        <v>1098</v>
      </c>
      <c r="B152" s="43" t="s">
        <v>343</v>
      </c>
      <c r="C152" s="46" t="s">
        <v>47</v>
      </c>
      <c r="D152" s="44" t="s">
        <v>368</v>
      </c>
      <c r="E152" s="47">
        <v>7268</v>
      </c>
      <c r="F152" s="46" t="s">
        <v>394</v>
      </c>
      <c r="G152" s="35">
        <v>25000</v>
      </c>
      <c r="H152" s="40">
        <v>25000</v>
      </c>
    </row>
    <row r="153" spans="1:8" s="15" customFormat="1" ht="26.1" customHeight="1" x14ac:dyDescent="0.2">
      <c r="A153" s="67" t="s">
        <v>1098</v>
      </c>
      <c r="B153" s="43" t="s">
        <v>344</v>
      </c>
      <c r="C153" s="46" t="s">
        <v>47</v>
      </c>
      <c r="D153" s="44" t="s">
        <v>369</v>
      </c>
      <c r="E153" s="47">
        <v>7171</v>
      </c>
      <c r="F153" s="46" t="s">
        <v>387</v>
      </c>
      <c r="G153" s="35">
        <v>25000</v>
      </c>
      <c r="H153" s="40">
        <v>25000</v>
      </c>
    </row>
    <row r="154" spans="1:8" s="15" customFormat="1" ht="26.1" customHeight="1" x14ac:dyDescent="0.2">
      <c r="A154" s="67" t="s">
        <v>1098</v>
      </c>
      <c r="B154" s="43" t="s">
        <v>347</v>
      </c>
      <c r="C154" s="46" t="s">
        <v>47</v>
      </c>
      <c r="D154" s="44" t="s">
        <v>371</v>
      </c>
      <c r="E154" s="47">
        <v>7269</v>
      </c>
      <c r="F154" s="46" t="s">
        <v>338</v>
      </c>
      <c r="G154" s="35">
        <v>25000</v>
      </c>
      <c r="H154" s="40">
        <v>25000</v>
      </c>
    </row>
    <row r="155" spans="1:8" s="15" customFormat="1" ht="26.1" customHeight="1" x14ac:dyDescent="0.2">
      <c r="A155" s="67" t="s">
        <v>1098</v>
      </c>
      <c r="B155" s="43" t="s">
        <v>355</v>
      </c>
      <c r="C155" s="46" t="s">
        <v>47</v>
      </c>
      <c r="D155" s="44" t="s">
        <v>377</v>
      </c>
      <c r="E155" s="47">
        <v>7259</v>
      </c>
      <c r="F155" s="46" t="s">
        <v>338</v>
      </c>
      <c r="G155" s="35">
        <v>25000</v>
      </c>
      <c r="H155" s="40">
        <v>25000</v>
      </c>
    </row>
    <row r="156" spans="1:8" s="15" customFormat="1" ht="26.1" customHeight="1" x14ac:dyDescent="0.2">
      <c r="A156" s="67" t="s">
        <v>1098</v>
      </c>
      <c r="B156" s="43" t="s">
        <v>360</v>
      </c>
      <c r="C156" s="46" t="s">
        <v>47</v>
      </c>
      <c r="D156" s="44" t="s">
        <v>382</v>
      </c>
      <c r="E156" s="47">
        <v>7242</v>
      </c>
      <c r="F156" s="46" t="s">
        <v>390</v>
      </c>
      <c r="G156" s="35">
        <v>25000</v>
      </c>
      <c r="H156" s="40">
        <v>25000</v>
      </c>
    </row>
    <row r="157" spans="1:8" s="15" customFormat="1" ht="26.1" customHeight="1" x14ac:dyDescent="0.2">
      <c r="A157" s="67" t="s">
        <v>1098</v>
      </c>
      <c r="B157" s="43" t="s">
        <v>362</v>
      </c>
      <c r="C157" s="46" t="s">
        <v>47</v>
      </c>
      <c r="D157" s="44" t="s">
        <v>383</v>
      </c>
      <c r="E157" s="47">
        <v>7172</v>
      </c>
      <c r="F157" s="46" t="s">
        <v>338</v>
      </c>
      <c r="G157" s="35">
        <v>25000</v>
      </c>
      <c r="H157" s="40">
        <v>25000</v>
      </c>
    </row>
    <row r="158" spans="1:8" s="15" customFormat="1" ht="26.1" customHeight="1" x14ac:dyDescent="0.2">
      <c r="A158" s="67" t="s">
        <v>1098</v>
      </c>
      <c r="B158" s="43" t="s">
        <v>456</v>
      </c>
      <c r="C158" s="46" t="s">
        <v>315</v>
      </c>
      <c r="D158" s="44" t="s">
        <v>467</v>
      </c>
      <c r="E158" s="47" t="s">
        <v>472</v>
      </c>
      <c r="F158" s="46" t="s">
        <v>461</v>
      </c>
      <c r="G158" s="35">
        <v>25000</v>
      </c>
      <c r="H158" s="40">
        <v>25000</v>
      </c>
    </row>
    <row r="159" spans="1:8" s="15" customFormat="1" ht="26.1" customHeight="1" x14ac:dyDescent="0.2">
      <c r="A159" s="67" t="s">
        <v>1098</v>
      </c>
      <c r="B159" s="43" t="s">
        <v>458</v>
      </c>
      <c r="C159" s="46" t="s">
        <v>315</v>
      </c>
      <c r="D159" s="44" t="s">
        <v>469</v>
      </c>
      <c r="E159" s="47" t="s">
        <v>473</v>
      </c>
      <c r="F159" s="46" t="s">
        <v>461</v>
      </c>
      <c r="G159" s="35">
        <v>25000</v>
      </c>
      <c r="H159" s="40">
        <v>5000</v>
      </c>
    </row>
    <row r="160" spans="1:8" s="15" customFormat="1" ht="26.1" customHeight="1" x14ac:dyDescent="0.2">
      <c r="A160" s="67" t="s">
        <v>1098</v>
      </c>
      <c r="B160" s="43" t="s">
        <v>488</v>
      </c>
      <c r="C160" s="46" t="s">
        <v>515</v>
      </c>
      <c r="D160" s="44" t="s">
        <v>518</v>
      </c>
      <c r="E160" s="47">
        <v>5927</v>
      </c>
      <c r="F160" s="46" t="s">
        <v>502</v>
      </c>
      <c r="G160" s="35">
        <v>25000</v>
      </c>
      <c r="H160" s="40">
        <v>25000</v>
      </c>
    </row>
    <row r="161" spans="1:8" s="15" customFormat="1" ht="26.1" customHeight="1" x14ac:dyDescent="0.2">
      <c r="A161" s="67" t="s">
        <v>1098</v>
      </c>
      <c r="B161" s="43" t="s">
        <v>499</v>
      </c>
      <c r="C161" s="46" t="s">
        <v>315</v>
      </c>
      <c r="D161" s="44" t="s">
        <v>525</v>
      </c>
      <c r="E161" s="34">
        <v>6711</v>
      </c>
      <c r="F161" s="46" t="s">
        <v>512</v>
      </c>
      <c r="G161" s="35">
        <v>25000</v>
      </c>
      <c r="H161" s="40">
        <v>4999</v>
      </c>
    </row>
    <row r="162" spans="1:8" s="15" customFormat="1" ht="26.1" customHeight="1" x14ac:dyDescent="0.2">
      <c r="A162" s="67" t="s">
        <v>1098</v>
      </c>
      <c r="B162" s="43" t="s">
        <v>751</v>
      </c>
      <c r="C162" s="46" t="s">
        <v>41</v>
      </c>
      <c r="D162" s="44" t="s">
        <v>538</v>
      </c>
      <c r="E162" s="47" t="s">
        <v>761</v>
      </c>
      <c r="F162" s="46" t="s">
        <v>764</v>
      </c>
      <c r="G162" s="35">
        <v>25000</v>
      </c>
      <c r="H162" s="40">
        <v>22330</v>
      </c>
    </row>
    <row r="163" spans="1:8" s="15" customFormat="1" ht="26.1" customHeight="1" x14ac:dyDescent="0.2">
      <c r="A163" s="67" t="s">
        <v>1098</v>
      </c>
      <c r="B163" s="43" t="s">
        <v>869</v>
      </c>
      <c r="C163" s="46" t="s">
        <v>315</v>
      </c>
      <c r="D163" s="44" t="s">
        <v>613</v>
      </c>
      <c r="E163" s="47" t="s">
        <v>882</v>
      </c>
      <c r="F163" s="46" t="s">
        <v>602</v>
      </c>
      <c r="G163" s="35">
        <v>25000</v>
      </c>
      <c r="H163" s="35">
        <v>5000</v>
      </c>
    </row>
    <row r="164" spans="1:8" s="15" customFormat="1" ht="26.1" customHeight="1" x14ac:dyDescent="0.2">
      <c r="A164" s="67" t="s">
        <v>1098</v>
      </c>
      <c r="B164" s="43" t="s">
        <v>836</v>
      </c>
      <c r="C164" s="46" t="s">
        <v>39</v>
      </c>
      <c r="D164" s="44" t="s">
        <v>845</v>
      </c>
      <c r="E164" s="47">
        <v>8077</v>
      </c>
      <c r="F164" s="46" t="s">
        <v>856</v>
      </c>
      <c r="G164" s="35">
        <f>8500*3</f>
        <v>25500</v>
      </c>
      <c r="H164" s="40">
        <f>8500*3</f>
        <v>25500</v>
      </c>
    </row>
    <row r="165" spans="1:8" s="15" customFormat="1" ht="26.1" customHeight="1" x14ac:dyDescent="0.2">
      <c r="A165" s="67" t="s">
        <v>1098</v>
      </c>
      <c r="B165" s="43" t="s">
        <v>837</v>
      </c>
      <c r="C165" s="46" t="s">
        <v>39</v>
      </c>
      <c r="D165" s="44" t="s">
        <v>846</v>
      </c>
      <c r="E165" s="47">
        <v>8081</v>
      </c>
      <c r="F165" s="46" t="s">
        <v>856</v>
      </c>
      <c r="G165" s="35">
        <f>8500*3</f>
        <v>25500</v>
      </c>
      <c r="H165" s="40">
        <f>8500*3</f>
        <v>25500</v>
      </c>
    </row>
    <row r="166" spans="1:8" s="15" customFormat="1" ht="26.1" customHeight="1" x14ac:dyDescent="0.2">
      <c r="A166" s="67" t="s">
        <v>1098</v>
      </c>
      <c r="B166" s="43" t="s">
        <v>172</v>
      </c>
      <c r="C166" s="46" t="s">
        <v>39</v>
      </c>
      <c r="D166" s="44" t="s">
        <v>179</v>
      </c>
      <c r="E166" s="34">
        <v>6928</v>
      </c>
      <c r="F166" s="46" t="s">
        <v>186</v>
      </c>
      <c r="G166" s="35">
        <v>27500</v>
      </c>
      <c r="H166" s="40">
        <v>27500</v>
      </c>
    </row>
    <row r="167" spans="1:8" s="15" customFormat="1" ht="26.1" customHeight="1" x14ac:dyDescent="0.2">
      <c r="A167" s="67" t="s">
        <v>1098</v>
      </c>
      <c r="B167" s="43" t="s">
        <v>92</v>
      </c>
      <c r="C167" s="46" t="s">
        <v>95</v>
      </c>
      <c r="D167" s="44" t="s">
        <v>100</v>
      </c>
      <c r="E167" s="47" t="s">
        <v>107</v>
      </c>
      <c r="F167" s="46" t="s">
        <v>113</v>
      </c>
      <c r="G167" s="49">
        <v>27789</v>
      </c>
      <c r="H167" s="50">
        <v>24043</v>
      </c>
    </row>
    <row r="168" spans="1:8" s="15" customFormat="1" ht="26.1" customHeight="1" x14ac:dyDescent="0.2">
      <c r="A168" s="67" t="s">
        <v>1098</v>
      </c>
      <c r="B168" s="43" t="s">
        <v>556</v>
      </c>
      <c r="C168" s="46" t="s">
        <v>559</v>
      </c>
      <c r="D168" s="44" t="s">
        <v>570</v>
      </c>
      <c r="E168" s="47">
        <v>7741</v>
      </c>
      <c r="F168" s="46" t="s">
        <v>581</v>
      </c>
      <c r="G168" s="35">
        <v>27990</v>
      </c>
      <c r="H168" s="40">
        <v>27990</v>
      </c>
    </row>
    <row r="169" spans="1:8" s="15" customFormat="1" ht="26.1" customHeight="1" x14ac:dyDescent="0.2">
      <c r="A169" s="67" t="s">
        <v>1098</v>
      </c>
      <c r="B169" s="43" t="s">
        <v>957</v>
      </c>
      <c r="C169" s="46" t="s">
        <v>940</v>
      </c>
      <c r="D169" s="44" t="s">
        <v>962</v>
      </c>
      <c r="E169" s="47">
        <v>8302</v>
      </c>
      <c r="F169" s="46" t="s">
        <v>970</v>
      </c>
      <c r="G169" s="35">
        <v>28000</v>
      </c>
      <c r="H169" s="35">
        <v>28000</v>
      </c>
    </row>
    <row r="170" spans="1:8" s="15" customFormat="1" ht="26.1" customHeight="1" x14ac:dyDescent="0.2">
      <c r="A170" s="67" t="s">
        <v>1098</v>
      </c>
      <c r="B170" s="43" t="s">
        <v>20</v>
      </c>
      <c r="C170" s="46" t="s">
        <v>38</v>
      </c>
      <c r="D170" s="44" t="s">
        <v>51</v>
      </c>
      <c r="E170" s="34">
        <v>6293</v>
      </c>
      <c r="F170" s="46" t="s">
        <v>69</v>
      </c>
      <c r="G170" s="35">
        <v>28485</v>
      </c>
      <c r="H170" s="40">
        <v>28485</v>
      </c>
    </row>
    <row r="171" spans="1:8" s="15" customFormat="1" ht="26.1" customHeight="1" x14ac:dyDescent="0.2">
      <c r="A171" s="67" t="s">
        <v>1098</v>
      </c>
      <c r="B171" s="43" t="s">
        <v>553</v>
      </c>
      <c r="C171" s="46" t="s">
        <v>38</v>
      </c>
      <c r="D171" s="44" t="s">
        <v>567</v>
      </c>
      <c r="E171" s="47">
        <v>7457</v>
      </c>
      <c r="F171" s="46" t="s">
        <v>578</v>
      </c>
      <c r="G171" s="35">
        <f>9500*3</f>
        <v>28500</v>
      </c>
      <c r="H171" s="40">
        <f>9500*3</f>
        <v>28500</v>
      </c>
    </row>
    <row r="172" spans="1:8" s="15" customFormat="1" ht="26.1" customHeight="1" x14ac:dyDescent="0.2">
      <c r="A172" s="67" t="s">
        <v>1098</v>
      </c>
      <c r="B172" s="43" t="s">
        <v>427</v>
      </c>
      <c r="C172" s="46" t="s">
        <v>39</v>
      </c>
      <c r="D172" s="44" t="s">
        <v>441</v>
      </c>
      <c r="E172" s="34">
        <v>7166</v>
      </c>
      <c r="F172" s="46" t="s">
        <v>433</v>
      </c>
      <c r="G172" s="35">
        <v>29112</v>
      </c>
      <c r="H172" s="40">
        <v>29112</v>
      </c>
    </row>
    <row r="173" spans="1:8" s="15" customFormat="1" ht="26.1" customHeight="1" x14ac:dyDescent="0.2">
      <c r="A173" s="67" t="s">
        <v>1098</v>
      </c>
      <c r="B173" s="43" t="s">
        <v>814</v>
      </c>
      <c r="C173" s="46" t="s">
        <v>159</v>
      </c>
      <c r="D173" s="44" t="s">
        <v>820</v>
      </c>
      <c r="E173" s="47">
        <v>8053</v>
      </c>
      <c r="F173" s="46" t="s">
        <v>825</v>
      </c>
      <c r="G173" s="35">
        <v>29730</v>
      </c>
      <c r="H173" s="40">
        <v>29730</v>
      </c>
    </row>
    <row r="174" spans="1:8" s="15" customFormat="1" ht="26.1" customHeight="1" x14ac:dyDescent="0.2">
      <c r="A174" s="67" t="s">
        <v>1098</v>
      </c>
      <c r="B174" s="43" t="s">
        <v>545</v>
      </c>
      <c r="C174" s="46" t="s">
        <v>38</v>
      </c>
      <c r="D174" s="44" t="s">
        <v>561</v>
      </c>
      <c r="E174" s="47">
        <v>7322</v>
      </c>
      <c r="F174" s="46" t="s">
        <v>597</v>
      </c>
      <c r="G174" s="35">
        <v>29760</v>
      </c>
      <c r="H174" s="40">
        <v>29760</v>
      </c>
    </row>
    <row r="175" spans="1:8" s="15" customFormat="1" ht="26.1" customHeight="1" x14ac:dyDescent="0.2">
      <c r="A175" s="67" t="s">
        <v>1098</v>
      </c>
      <c r="B175" s="43" t="s">
        <v>29</v>
      </c>
      <c r="C175" s="46" t="s">
        <v>44</v>
      </c>
      <c r="D175" s="44" t="s">
        <v>59</v>
      </c>
      <c r="E175" s="47">
        <v>6494</v>
      </c>
      <c r="F175" s="46" t="s">
        <v>77</v>
      </c>
      <c r="G175" s="35">
        <f>10000*3</f>
        <v>30000</v>
      </c>
      <c r="H175" s="40">
        <f>10000*3</f>
        <v>30000</v>
      </c>
    </row>
    <row r="176" spans="1:8" s="15" customFormat="1" ht="26.1" customHeight="1" x14ac:dyDescent="0.2">
      <c r="A176" s="67" t="s">
        <v>1098</v>
      </c>
      <c r="B176" s="43" t="s">
        <v>158</v>
      </c>
      <c r="C176" s="46" t="s">
        <v>94</v>
      </c>
      <c r="D176" s="44" t="s">
        <v>162</v>
      </c>
      <c r="E176" s="34">
        <v>6544</v>
      </c>
      <c r="F176" s="46" t="s">
        <v>165</v>
      </c>
      <c r="G176" s="35">
        <f>10000+10000+10000</f>
        <v>30000</v>
      </c>
      <c r="H176" s="35">
        <f>10000+10000+10000</f>
        <v>30000</v>
      </c>
    </row>
    <row r="177" spans="1:8" s="15" customFormat="1" ht="26.1" customHeight="1" x14ac:dyDescent="0.2">
      <c r="A177" s="67" t="s">
        <v>1098</v>
      </c>
      <c r="B177" s="43" t="s">
        <v>357</v>
      </c>
      <c r="C177" s="46" t="s">
        <v>47</v>
      </c>
      <c r="D177" s="44" t="s">
        <v>379</v>
      </c>
      <c r="E177" s="47">
        <v>7245</v>
      </c>
      <c r="F177" s="46" t="s">
        <v>338</v>
      </c>
      <c r="G177" s="35">
        <v>30000</v>
      </c>
      <c r="H177" s="40">
        <v>30000</v>
      </c>
    </row>
    <row r="178" spans="1:8" s="15" customFormat="1" ht="26.1" customHeight="1" x14ac:dyDescent="0.2">
      <c r="A178" s="67" t="s">
        <v>1098</v>
      </c>
      <c r="B178" s="43" t="s">
        <v>366</v>
      </c>
      <c r="C178" s="46" t="s">
        <v>47</v>
      </c>
      <c r="D178" s="44" t="s">
        <v>386</v>
      </c>
      <c r="E178" s="47">
        <v>7270</v>
      </c>
      <c r="F178" s="46" t="s">
        <v>388</v>
      </c>
      <c r="G178" s="35">
        <v>30000</v>
      </c>
      <c r="H178" s="40">
        <v>30000</v>
      </c>
    </row>
    <row r="179" spans="1:8" s="15" customFormat="1" ht="26.1" customHeight="1" x14ac:dyDescent="0.2">
      <c r="A179" s="67" t="s">
        <v>1098</v>
      </c>
      <c r="B179" s="43" t="s">
        <v>494</v>
      </c>
      <c r="C179" s="46" t="s">
        <v>39</v>
      </c>
      <c r="D179" s="44" t="s">
        <v>523</v>
      </c>
      <c r="E179" s="34">
        <v>7356</v>
      </c>
      <c r="F179" s="46" t="s">
        <v>507</v>
      </c>
      <c r="G179" s="35">
        <v>30000</v>
      </c>
      <c r="H179" s="40">
        <v>30000</v>
      </c>
    </row>
    <row r="180" spans="1:8" s="15" customFormat="1" ht="26.1" customHeight="1" x14ac:dyDescent="0.2">
      <c r="A180" s="67" t="s">
        <v>1098</v>
      </c>
      <c r="B180" s="43" t="s">
        <v>496</v>
      </c>
      <c r="C180" s="46" t="s">
        <v>42</v>
      </c>
      <c r="D180" s="44" t="s">
        <v>176</v>
      </c>
      <c r="E180" s="47" t="s">
        <v>529</v>
      </c>
      <c r="F180" s="46" t="s">
        <v>509</v>
      </c>
      <c r="G180" s="35">
        <v>30000</v>
      </c>
      <c r="H180" s="40">
        <v>7000</v>
      </c>
    </row>
    <row r="181" spans="1:8" s="15" customFormat="1" ht="26.1" customHeight="1" x14ac:dyDescent="0.2">
      <c r="A181" s="67" t="s">
        <v>1098</v>
      </c>
      <c r="B181" s="43" t="s">
        <v>554</v>
      </c>
      <c r="C181" s="46" t="s">
        <v>94</v>
      </c>
      <c r="D181" s="44" t="s">
        <v>568</v>
      </c>
      <c r="E181" s="47">
        <v>7471</v>
      </c>
      <c r="F181" s="46" t="s">
        <v>579</v>
      </c>
      <c r="G181" s="35">
        <f>10000*3</f>
        <v>30000</v>
      </c>
      <c r="H181" s="40">
        <f>10000*3</f>
        <v>30000</v>
      </c>
    </row>
    <row r="182" spans="1:8" s="15" customFormat="1" ht="26.1" customHeight="1" x14ac:dyDescent="0.2">
      <c r="A182" s="67" t="s">
        <v>1098</v>
      </c>
      <c r="B182" s="43" t="s">
        <v>582</v>
      </c>
      <c r="C182" s="46" t="s">
        <v>159</v>
      </c>
      <c r="D182" s="44" t="s">
        <v>587</v>
      </c>
      <c r="E182" s="47">
        <v>7508</v>
      </c>
      <c r="F182" s="46" t="s">
        <v>591</v>
      </c>
      <c r="G182" s="35">
        <v>30000</v>
      </c>
      <c r="H182" s="40">
        <v>30000</v>
      </c>
    </row>
    <row r="183" spans="1:8" s="15" customFormat="1" ht="26.1" customHeight="1" x14ac:dyDescent="0.2">
      <c r="A183" s="67" t="s">
        <v>1098</v>
      </c>
      <c r="B183" s="43" t="s">
        <v>625</v>
      </c>
      <c r="C183" s="46" t="s">
        <v>145</v>
      </c>
      <c r="D183" s="44" t="s">
        <v>175</v>
      </c>
      <c r="E183" s="47">
        <v>7591</v>
      </c>
      <c r="F183" s="46" t="s">
        <v>634</v>
      </c>
      <c r="G183" s="35">
        <v>30000</v>
      </c>
      <c r="H183" s="40">
        <v>30000</v>
      </c>
    </row>
    <row r="184" spans="1:8" s="15" customFormat="1" ht="26.1" customHeight="1" x14ac:dyDescent="0.2">
      <c r="A184" s="67" t="s">
        <v>1098</v>
      </c>
      <c r="B184" s="43" t="s">
        <v>727</v>
      </c>
      <c r="C184" s="46" t="s">
        <v>40</v>
      </c>
      <c r="D184" s="44" t="s">
        <v>737</v>
      </c>
      <c r="E184" s="47">
        <v>7897</v>
      </c>
      <c r="F184" s="46" t="s">
        <v>747</v>
      </c>
      <c r="G184" s="35">
        <f>10000*3</f>
        <v>30000</v>
      </c>
      <c r="H184" s="40">
        <f>10000*3</f>
        <v>30000</v>
      </c>
    </row>
    <row r="185" spans="1:8" s="15" customFormat="1" ht="26.1" customHeight="1" x14ac:dyDescent="0.2">
      <c r="A185" s="67" t="s">
        <v>1098</v>
      </c>
      <c r="B185" s="43" t="s">
        <v>839</v>
      </c>
      <c r="C185" s="46" t="s">
        <v>94</v>
      </c>
      <c r="D185" s="44" t="s">
        <v>848</v>
      </c>
      <c r="E185" s="47">
        <v>8085</v>
      </c>
      <c r="F185" s="46" t="s">
        <v>858</v>
      </c>
      <c r="G185" s="35">
        <f>10000*3</f>
        <v>30000</v>
      </c>
      <c r="H185" s="40">
        <f>10000*3</f>
        <v>30000</v>
      </c>
    </row>
    <row r="186" spans="1:8" s="15" customFormat="1" ht="26.1" customHeight="1" x14ac:dyDescent="0.2">
      <c r="A186" s="67" t="s">
        <v>1098</v>
      </c>
      <c r="B186" s="43" t="s">
        <v>886</v>
      </c>
      <c r="C186" s="46" t="s">
        <v>94</v>
      </c>
      <c r="D186" s="44" t="s">
        <v>99</v>
      </c>
      <c r="E186" s="47" t="s">
        <v>891</v>
      </c>
      <c r="F186" s="46" t="s">
        <v>895</v>
      </c>
      <c r="G186" s="35">
        <f>15000+15000</f>
        <v>30000</v>
      </c>
      <c r="H186" s="35">
        <v>7500</v>
      </c>
    </row>
    <row r="187" spans="1:8" s="15" customFormat="1" ht="26.1" customHeight="1" x14ac:dyDescent="0.2">
      <c r="A187" s="67" t="s">
        <v>1098</v>
      </c>
      <c r="B187" s="43" t="s">
        <v>1001</v>
      </c>
      <c r="C187" s="46" t="s">
        <v>1006</v>
      </c>
      <c r="D187" s="44" t="s">
        <v>1007</v>
      </c>
      <c r="E187" s="47" t="s">
        <v>1011</v>
      </c>
      <c r="F187" s="46" t="s">
        <v>1012</v>
      </c>
      <c r="G187" s="35">
        <f>10000*3</f>
        <v>30000</v>
      </c>
      <c r="H187" s="35">
        <f>10000*3</f>
        <v>30000</v>
      </c>
    </row>
    <row r="188" spans="1:8" s="15" customFormat="1" ht="26.1" customHeight="1" x14ac:dyDescent="0.2">
      <c r="A188" s="67" t="s">
        <v>1098</v>
      </c>
      <c r="B188" s="43" t="s">
        <v>988</v>
      </c>
      <c r="C188" s="46" t="s">
        <v>940</v>
      </c>
      <c r="D188" s="44" t="s">
        <v>992</v>
      </c>
      <c r="E188" s="47">
        <v>8325</v>
      </c>
      <c r="F188" s="46" t="s">
        <v>998</v>
      </c>
      <c r="G188" s="35">
        <v>31800</v>
      </c>
      <c r="H188" s="35">
        <v>31800</v>
      </c>
    </row>
    <row r="189" spans="1:8" s="15" customFormat="1" ht="26.1" customHeight="1" x14ac:dyDescent="0.2">
      <c r="A189" s="67" t="s">
        <v>1098</v>
      </c>
      <c r="B189" s="43" t="s">
        <v>844</v>
      </c>
      <c r="C189" s="46" t="s">
        <v>940</v>
      </c>
      <c r="D189" s="44" t="s">
        <v>852</v>
      </c>
      <c r="E189" s="47">
        <v>8135</v>
      </c>
      <c r="F189" s="46" t="s">
        <v>862</v>
      </c>
      <c r="G189" s="35">
        <f>22340+4500+5000</f>
        <v>31840</v>
      </c>
      <c r="H189" s="35">
        <f>22340+4500+5000</f>
        <v>31840</v>
      </c>
    </row>
    <row r="190" spans="1:8" s="15" customFormat="1" ht="26.1" customHeight="1" x14ac:dyDescent="0.2">
      <c r="A190" s="67" t="s">
        <v>1098</v>
      </c>
      <c r="B190" s="43" t="s">
        <v>451</v>
      </c>
      <c r="C190" s="46" t="s">
        <v>41</v>
      </c>
      <c r="D190" s="44" t="s">
        <v>452</v>
      </c>
      <c r="E190" s="34">
        <v>7271</v>
      </c>
      <c r="F190" s="46" t="s">
        <v>453</v>
      </c>
      <c r="G190" s="35">
        <v>32000</v>
      </c>
      <c r="H190" s="40">
        <v>60000</v>
      </c>
    </row>
    <row r="191" spans="1:8" s="15" customFormat="1" ht="26.1" customHeight="1" x14ac:dyDescent="0.2">
      <c r="A191" s="67" t="s">
        <v>1098</v>
      </c>
      <c r="B191" s="43" t="s">
        <v>404</v>
      </c>
      <c r="C191" s="46" t="s">
        <v>405</v>
      </c>
      <c r="D191" s="44" t="s">
        <v>409</v>
      </c>
      <c r="E191" s="34">
        <v>7119</v>
      </c>
      <c r="F191" s="46" t="s">
        <v>399</v>
      </c>
      <c r="G191" s="35">
        <v>32209</v>
      </c>
      <c r="H191" s="40">
        <v>47869</v>
      </c>
    </row>
    <row r="192" spans="1:8" s="15" customFormat="1" ht="26.1" customHeight="1" x14ac:dyDescent="0.2">
      <c r="A192" s="67" t="s">
        <v>1098</v>
      </c>
      <c r="B192" s="43" t="s">
        <v>552</v>
      </c>
      <c r="C192" s="46" t="s">
        <v>159</v>
      </c>
      <c r="D192" s="44" t="s">
        <v>566</v>
      </c>
      <c r="E192" s="47">
        <v>7448</v>
      </c>
      <c r="F192" s="46" t="s">
        <v>577</v>
      </c>
      <c r="G192" s="35">
        <v>32250</v>
      </c>
      <c r="H192" s="40">
        <v>32250</v>
      </c>
    </row>
    <row r="193" spans="1:8" s="15" customFormat="1" ht="26.1" customHeight="1" x14ac:dyDescent="0.2">
      <c r="A193" s="67" t="s">
        <v>1098</v>
      </c>
      <c r="B193" s="43" t="s">
        <v>550</v>
      </c>
      <c r="C193" s="46" t="s">
        <v>41</v>
      </c>
      <c r="D193" s="44" t="s">
        <v>564</v>
      </c>
      <c r="E193" s="47">
        <v>7436</v>
      </c>
      <c r="F193" s="46" t="s">
        <v>575</v>
      </c>
      <c r="G193" s="35">
        <v>32992</v>
      </c>
      <c r="H193" s="40">
        <v>32992</v>
      </c>
    </row>
    <row r="194" spans="1:8" s="15" customFormat="1" ht="26.1" customHeight="1" x14ac:dyDescent="0.2">
      <c r="A194" s="67" t="s">
        <v>1098</v>
      </c>
      <c r="B194" s="43" t="s">
        <v>657</v>
      </c>
      <c r="C194" s="46" t="s">
        <v>41</v>
      </c>
      <c r="D194" s="46" t="s">
        <v>660</v>
      </c>
      <c r="E194" s="47">
        <v>7729</v>
      </c>
      <c r="F194" s="46" t="s">
        <v>666</v>
      </c>
      <c r="G194" s="35">
        <v>32992</v>
      </c>
      <c r="H194" s="40">
        <v>32992</v>
      </c>
    </row>
    <row r="195" spans="1:8" s="15" customFormat="1" ht="26.1" customHeight="1" x14ac:dyDescent="0.2">
      <c r="A195" s="67" t="s">
        <v>1098</v>
      </c>
      <c r="B195" s="43" t="s">
        <v>24</v>
      </c>
      <c r="C195" s="46" t="s">
        <v>42</v>
      </c>
      <c r="D195" s="44" t="s">
        <v>55</v>
      </c>
      <c r="E195" s="34">
        <v>6362</v>
      </c>
      <c r="F195" s="46" t="s">
        <v>73</v>
      </c>
      <c r="G195" s="35">
        <v>33600</v>
      </c>
      <c r="H195" s="40">
        <v>33600</v>
      </c>
    </row>
    <row r="196" spans="1:8" s="15" customFormat="1" ht="26.1" customHeight="1" x14ac:dyDescent="0.2">
      <c r="A196" s="67" t="s">
        <v>1098</v>
      </c>
      <c r="B196" s="43" t="s">
        <v>843</v>
      </c>
      <c r="C196" s="46" t="s">
        <v>940</v>
      </c>
      <c r="D196" s="44" t="s">
        <v>851</v>
      </c>
      <c r="E196" s="47">
        <v>8132</v>
      </c>
      <c r="F196" s="46" t="s">
        <v>861</v>
      </c>
      <c r="G196" s="35">
        <f>11065+11500+12000</f>
        <v>34565</v>
      </c>
      <c r="H196" s="35">
        <f>11065+11500+12000</f>
        <v>34565</v>
      </c>
    </row>
    <row r="197" spans="1:8" s="15" customFormat="1" ht="26.1" customHeight="1" x14ac:dyDescent="0.2">
      <c r="A197" s="67" t="s">
        <v>1098</v>
      </c>
      <c r="B197" s="43" t="s">
        <v>274</v>
      </c>
      <c r="C197" s="46" t="s">
        <v>159</v>
      </c>
      <c r="D197" s="44" t="s">
        <v>287</v>
      </c>
      <c r="E197" s="34">
        <v>7059</v>
      </c>
      <c r="F197" s="46" t="s">
        <v>303</v>
      </c>
      <c r="G197" s="35">
        <v>35000</v>
      </c>
      <c r="H197" s="40">
        <v>35000</v>
      </c>
    </row>
    <row r="198" spans="1:8" s="15" customFormat="1" ht="26.1" customHeight="1" x14ac:dyDescent="0.2">
      <c r="A198" s="67" t="s">
        <v>1098</v>
      </c>
      <c r="B198" s="43" t="s">
        <v>721</v>
      </c>
      <c r="C198" s="46" t="s">
        <v>159</v>
      </c>
      <c r="D198" s="44" t="s">
        <v>734</v>
      </c>
      <c r="E198" s="47">
        <v>7873</v>
      </c>
      <c r="F198" s="46" t="s">
        <v>743</v>
      </c>
      <c r="G198" s="35">
        <v>35000</v>
      </c>
      <c r="H198" s="40">
        <v>35000</v>
      </c>
    </row>
    <row r="199" spans="1:8" s="15" customFormat="1" ht="26.1" customHeight="1" x14ac:dyDescent="0.2">
      <c r="A199" s="67" t="s">
        <v>1098</v>
      </c>
      <c r="B199" s="43" t="s">
        <v>724</v>
      </c>
      <c r="C199" s="46" t="s">
        <v>159</v>
      </c>
      <c r="D199" s="44" t="s">
        <v>466</v>
      </c>
      <c r="E199" s="47" t="s">
        <v>750</v>
      </c>
      <c r="F199" s="46" t="s">
        <v>464</v>
      </c>
      <c r="G199" s="35">
        <v>35000</v>
      </c>
      <c r="H199" s="40">
        <v>12189</v>
      </c>
    </row>
    <row r="200" spans="1:8" s="15" customFormat="1" ht="26.1" customHeight="1" x14ac:dyDescent="0.2">
      <c r="A200" s="67" t="s">
        <v>1098</v>
      </c>
      <c r="B200" s="43" t="s">
        <v>884</v>
      </c>
      <c r="C200" s="46" t="s">
        <v>40</v>
      </c>
      <c r="D200" s="44" t="s">
        <v>888</v>
      </c>
      <c r="E200" s="47" t="s">
        <v>890</v>
      </c>
      <c r="F200" s="56" t="s">
        <v>893</v>
      </c>
      <c r="G200" s="35">
        <v>35000</v>
      </c>
      <c r="H200" s="35">
        <v>36743</v>
      </c>
    </row>
    <row r="201" spans="1:8" s="15" customFormat="1" ht="26.1" customHeight="1" x14ac:dyDescent="0.2">
      <c r="A201" s="67" t="s">
        <v>1098</v>
      </c>
      <c r="B201" s="43" t="s">
        <v>93</v>
      </c>
      <c r="C201" s="46" t="s">
        <v>41</v>
      </c>
      <c r="D201" s="44" t="s">
        <v>101</v>
      </c>
      <c r="E201" s="47">
        <v>6800</v>
      </c>
      <c r="F201" s="46" t="s">
        <v>114</v>
      </c>
      <c r="G201" s="49">
        <f>12500*3</f>
        <v>37500</v>
      </c>
      <c r="H201" s="50">
        <f>12500*3</f>
        <v>37500</v>
      </c>
    </row>
    <row r="202" spans="1:8" s="15" customFormat="1" ht="26.1" customHeight="1" x14ac:dyDescent="0.2">
      <c r="A202" s="67" t="s">
        <v>1098</v>
      </c>
      <c r="B202" s="43" t="s">
        <v>1005</v>
      </c>
      <c r="C202" s="46" t="s">
        <v>557</v>
      </c>
      <c r="D202" s="44" t="s">
        <v>1010</v>
      </c>
      <c r="E202" s="47" t="s">
        <v>65</v>
      </c>
      <c r="F202" s="46" t="s">
        <v>1015</v>
      </c>
      <c r="G202" s="35">
        <v>38640</v>
      </c>
      <c r="H202" s="35">
        <v>38640</v>
      </c>
    </row>
    <row r="203" spans="1:8" s="15" customFormat="1" ht="26.1" customHeight="1" x14ac:dyDescent="0.2">
      <c r="A203" s="67" t="s">
        <v>1098</v>
      </c>
      <c r="B203" s="43" t="s">
        <v>32</v>
      </c>
      <c r="C203" s="46" t="s">
        <v>39</v>
      </c>
      <c r="D203" s="44" t="s">
        <v>62</v>
      </c>
      <c r="E203" s="47">
        <v>6545</v>
      </c>
      <c r="F203" s="46" t="s">
        <v>80</v>
      </c>
      <c r="G203" s="35">
        <f>12919*3</f>
        <v>38757</v>
      </c>
      <c r="H203" s="40">
        <f>12919*3</f>
        <v>38757</v>
      </c>
    </row>
    <row r="204" spans="1:8" s="15" customFormat="1" ht="26.1" customHeight="1" x14ac:dyDescent="0.2">
      <c r="A204" s="67" t="s">
        <v>1098</v>
      </c>
      <c r="B204" s="43" t="s">
        <v>30</v>
      </c>
      <c r="C204" s="46" t="s">
        <v>45</v>
      </c>
      <c r="D204" s="44" t="s">
        <v>60</v>
      </c>
      <c r="E204" s="47">
        <v>6513</v>
      </c>
      <c r="F204" s="46" t="s">
        <v>78</v>
      </c>
      <c r="G204" s="35">
        <v>39000</v>
      </c>
      <c r="H204" s="40">
        <v>46800</v>
      </c>
    </row>
    <row r="205" spans="1:8" s="15" customFormat="1" ht="26.1" customHeight="1" x14ac:dyDescent="0.2">
      <c r="A205" s="67" t="s">
        <v>1098</v>
      </c>
      <c r="B205" s="43" t="s">
        <v>277</v>
      </c>
      <c r="C205" s="46" t="s">
        <v>46</v>
      </c>
      <c r="D205" s="44" t="s">
        <v>290</v>
      </c>
      <c r="E205" s="34">
        <v>7069</v>
      </c>
      <c r="F205" s="46" t="s">
        <v>306</v>
      </c>
      <c r="G205" s="35">
        <v>39500</v>
      </c>
      <c r="H205" s="40">
        <v>39500</v>
      </c>
    </row>
    <row r="206" spans="1:8" s="15" customFormat="1" ht="26.1" customHeight="1" x14ac:dyDescent="0.2">
      <c r="A206" s="67" t="s">
        <v>1098</v>
      </c>
      <c r="B206" s="43" t="s">
        <v>87</v>
      </c>
      <c r="C206" s="46" t="s">
        <v>94</v>
      </c>
      <c r="D206" s="44" t="s">
        <v>96</v>
      </c>
      <c r="E206" s="47" t="s">
        <v>102</v>
      </c>
      <c r="F206" s="46" t="s">
        <v>108</v>
      </c>
      <c r="G206" s="35">
        <f>20000+20000</f>
        <v>40000</v>
      </c>
      <c r="H206" s="40">
        <v>15000</v>
      </c>
    </row>
    <row r="207" spans="1:8" s="15" customFormat="1" ht="26.1" customHeight="1" x14ac:dyDescent="0.2">
      <c r="A207" s="67" t="s">
        <v>1098</v>
      </c>
      <c r="B207" s="43" t="s">
        <v>269</v>
      </c>
      <c r="C207" s="46" t="s">
        <v>37</v>
      </c>
      <c r="D207" s="44" t="s">
        <v>283</v>
      </c>
      <c r="E207" s="47" t="s">
        <v>292</v>
      </c>
      <c r="F207" s="46" t="s">
        <v>298</v>
      </c>
      <c r="G207" s="35">
        <v>40000</v>
      </c>
      <c r="H207" s="40">
        <v>44500</v>
      </c>
    </row>
    <row r="208" spans="1:8" s="15" customFormat="1" ht="26.1" customHeight="1" x14ac:dyDescent="0.2">
      <c r="A208" s="67" t="s">
        <v>1098</v>
      </c>
      <c r="B208" s="43" t="s">
        <v>459</v>
      </c>
      <c r="C208" s="46" t="s">
        <v>465</v>
      </c>
      <c r="D208" s="44" t="s">
        <v>470</v>
      </c>
      <c r="E208" s="47" t="s">
        <v>474</v>
      </c>
      <c r="F208" s="46" t="s">
        <v>463</v>
      </c>
      <c r="G208" s="35">
        <f>20000*2</f>
        <v>40000</v>
      </c>
      <c r="H208" s="40">
        <v>15000</v>
      </c>
    </row>
    <row r="209" spans="1:8" s="15" customFormat="1" ht="26.1" customHeight="1" x14ac:dyDescent="0.2">
      <c r="A209" s="67" t="s">
        <v>1098</v>
      </c>
      <c r="B209" s="43" t="s">
        <v>501</v>
      </c>
      <c r="C209" s="46" t="s">
        <v>47</v>
      </c>
      <c r="D209" s="44" t="s">
        <v>527</v>
      </c>
      <c r="E209" s="47" t="s">
        <v>65</v>
      </c>
      <c r="F209" s="46" t="s">
        <v>528</v>
      </c>
      <c r="G209" s="35">
        <v>40000</v>
      </c>
      <c r="H209" s="40">
        <v>99000</v>
      </c>
    </row>
    <row r="210" spans="1:8" s="15" customFormat="1" ht="26.1" customHeight="1" x14ac:dyDescent="0.2">
      <c r="A210" s="67" t="s">
        <v>1098</v>
      </c>
      <c r="B210" s="43" t="s">
        <v>622</v>
      </c>
      <c r="C210" s="46" t="s">
        <v>315</v>
      </c>
      <c r="D210" s="44" t="s">
        <v>317</v>
      </c>
      <c r="E210" s="47" t="s">
        <v>639</v>
      </c>
      <c r="F210" s="46" t="s">
        <v>632</v>
      </c>
      <c r="G210" s="35">
        <v>40000</v>
      </c>
      <c r="H210" s="40">
        <v>5000</v>
      </c>
    </row>
    <row r="211" spans="1:8" s="15" customFormat="1" ht="26.1" customHeight="1" x14ac:dyDescent="0.2">
      <c r="A211" s="67" t="s">
        <v>1098</v>
      </c>
      <c r="B211" s="43" t="s">
        <v>1042</v>
      </c>
      <c r="C211" s="46" t="s">
        <v>940</v>
      </c>
      <c r="D211" s="44" t="s">
        <v>206</v>
      </c>
      <c r="E211" s="47">
        <v>8483</v>
      </c>
      <c r="F211" s="46" t="s">
        <v>1052</v>
      </c>
      <c r="G211" s="35">
        <v>40000</v>
      </c>
      <c r="H211" s="35">
        <v>40000</v>
      </c>
    </row>
    <row r="212" spans="1:8" s="15" customFormat="1" ht="26.1" customHeight="1" x14ac:dyDescent="0.2">
      <c r="A212" s="67" t="s">
        <v>1098</v>
      </c>
      <c r="B212" s="43" t="s">
        <v>500</v>
      </c>
      <c r="C212" s="46" t="s">
        <v>159</v>
      </c>
      <c r="D212" s="44" t="s">
        <v>526</v>
      </c>
      <c r="E212" s="34">
        <v>7389</v>
      </c>
      <c r="F212" s="46" t="s">
        <v>513</v>
      </c>
      <c r="G212" s="35">
        <f>12420+13500+14500</f>
        <v>40420</v>
      </c>
      <c r="H212" s="35">
        <f>12420+13500+14500</f>
        <v>40420</v>
      </c>
    </row>
    <row r="213" spans="1:8" s="15" customFormat="1" ht="26.1" customHeight="1" x14ac:dyDescent="0.2">
      <c r="A213" s="67" t="s">
        <v>1098</v>
      </c>
      <c r="B213" s="43" t="s">
        <v>21</v>
      </c>
      <c r="C213" s="46" t="s">
        <v>39</v>
      </c>
      <c r="D213" s="44" t="s">
        <v>52</v>
      </c>
      <c r="E213" s="34">
        <v>6303</v>
      </c>
      <c r="F213" s="46" t="s">
        <v>70</v>
      </c>
      <c r="G213" s="35">
        <v>40933</v>
      </c>
      <c r="H213" s="40">
        <v>40933</v>
      </c>
    </row>
    <row r="214" spans="1:8" s="15" customFormat="1" ht="26.1" customHeight="1" x14ac:dyDescent="0.2">
      <c r="A214" s="67" t="s">
        <v>1098</v>
      </c>
      <c r="B214" s="43" t="s">
        <v>626</v>
      </c>
      <c r="C214" s="46" t="s">
        <v>39</v>
      </c>
      <c r="D214" s="44" t="s">
        <v>631</v>
      </c>
      <c r="E214" s="47">
        <v>7649</v>
      </c>
      <c r="F214" s="46" t="s">
        <v>635</v>
      </c>
      <c r="G214" s="35">
        <v>41040</v>
      </c>
      <c r="H214" s="40">
        <v>41040</v>
      </c>
    </row>
    <row r="215" spans="1:8" s="15" customFormat="1" ht="26.1" customHeight="1" x14ac:dyDescent="0.2">
      <c r="A215" s="67" t="s">
        <v>1098</v>
      </c>
      <c r="B215" s="43" t="s">
        <v>242</v>
      </c>
      <c r="C215" s="46" t="s">
        <v>44</v>
      </c>
      <c r="D215" s="44" t="s">
        <v>250</v>
      </c>
      <c r="E215" s="34">
        <v>7199</v>
      </c>
      <c r="F215" s="46" t="s">
        <v>257</v>
      </c>
      <c r="G215" s="35">
        <v>41188</v>
      </c>
      <c r="H215" s="40">
        <v>41188</v>
      </c>
    </row>
    <row r="216" spans="1:8" s="15" customFormat="1" ht="26.1" customHeight="1" x14ac:dyDescent="0.2">
      <c r="A216" s="67" t="s">
        <v>1098</v>
      </c>
      <c r="B216" s="43" t="s">
        <v>1056</v>
      </c>
      <c r="C216" s="46" t="s">
        <v>940</v>
      </c>
      <c r="D216" s="44" t="s">
        <v>320</v>
      </c>
      <c r="E216" s="47">
        <v>8391</v>
      </c>
      <c r="F216" s="46" t="s">
        <v>330</v>
      </c>
      <c r="G216" s="35">
        <v>42075</v>
      </c>
      <c r="H216" s="35">
        <v>86640</v>
      </c>
    </row>
    <row r="217" spans="1:8" s="15" customFormat="1" ht="26.1" customHeight="1" x14ac:dyDescent="0.2">
      <c r="A217" s="67" t="s">
        <v>1098</v>
      </c>
      <c r="B217" s="43" t="s">
        <v>771</v>
      </c>
      <c r="C217" s="46" t="s">
        <v>46</v>
      </c>
      <c r="D217" s="44" t="s">
        <v>775</v>
      </c>
      <c r="E217" s="47">
        <v>7913</v>
      </c>
      <c r="F217" s="46" t="s">
        <v>781</v>
      </c>
      <c r="G217" s="35">
        <v>42278</v>
      </c>
      <c r="H217" s="40">
        <v>42278</v>
      </c>
    </row>
    <row r="218" spans="1:8" s="15" customFormat="1" ht="26.1" customHeight="1" x14ac:dyDescent="0.2">
      <c r="A218" s="67" t="s">
        <v>1098</v>
      </c>
      <c r="B218" s="43" t="s">
        <v>683</v>
      </c>
      <c r="C218" s="46" t="s">
        <v>688</v>
      </c>
      <c r="D218" s="44" t="s">
        <v>709</v>
      </c>
      <c r="E218" s="47">
        <v>7804</v>
      </c>
      <c r="F218" s="46" t="s">
        <v>701</v>
      </c>
      <c r="G218" s="35">
        <v>43750</v>
      </c>
      <c r="H218" s="40">
        <v>43750</v>
      </c>
    </row>
    <row r="219" spans="1:8" s="15" customFormat="1" ht="26.1" customHeight="1" x14ac:dyDescent="0.2">
      <c r="A219" s="67" t="s">
        <v>1098</v>
      </c>
      <c r="B219" s="43" t="s">
        <v>419</v>
      </c>
      <c r="C219" s="46" t="s">
        <v>38</v>
      </c>
      <c r="D219" s="44" t="s">
        <v>422</v>
      </c>
      <c r="E219" s="34">
        <v>7209</v>
      </c>
      <c r="F219" s="46" t="s">
        <v>416</v>
      </c>
      <c r="G219" s="35">
        <v>44100</v>
      </c>
      <c r="H219" s="40">
        <v>44100</v>
      </c>
    </row>
    <row r="220" spans="1:8" s="15" customFormat="1" ht="26.1" customHeight="1" x14ac:dyDescent="0.2">
      <c r="A220" s="67" t="s">
        <v>1098</v>
      </c>
      <c r="B220" s="43" t="s">
        <v>166</v>
      </c>
      <c r="C220" s="46" t="s">
        <v>41</v>
      </c>
      <c r="D220" s="44" t="s">
        <v>173</v>
      </c>
      <c r="E220" s="34">
        <v>6567</v>
      </c>
      <c r="F220" s="46" t="s">
        <v>180</v>
      </c>
      <c r="G220" s="40">
        <f>14750*3</f>
        <v>44250</v>
      </c>
      <c r="H220" s="40">
        <f>14750*3</f>
        <v>44250</v>
      </c>
    </row>
    <row r="221" spans="1:8" s="15" customFormat="1" ht="26.1" customHeight="1" x14ac:dyDescent="0.2">
      <c r="A221" s="67" t="s">
        <v>1098</v>
      </c>
      <c r="B221" s="43" t="s">
        <v>168</v>
      </c>
      <c r="C221" s="46" t="s">
        <v>145</v>
      </c>
      <c r="D221" s="44" t="s">
        <v>175</v>
      </c>
      <c r="E221" s="34">
        <v>6575</v>
      </c>
      <c r="F221" s="46" t="s">
        <v>182</v>
      </c>
      <c r="G221" s="35">
        <f>15000+15000+15000</f>
        <v>45000</v>
      </c>
      <c r="H221" s="35">
        <f>15000+15000+15000</f>
        <v>45000</v>
      </c>
    </row>
    <row r="222" spans="1:8" s="15" customFormat="1" ht="26.1" customHeight="1" x14ac:dyDescent="0.2">
      <c r="A222" s="67" t="s">
        <v>1098</v>
      </c>
      <c r="B222" s="43" t="s">
        <v>403</v>
      </c>
      <c r="C222" s="46" t="s">
        <v>315</v>
      </c>
      <c r="D222" s="44" t="s">
        <v>408</v>
      </c>
      <c r="E222" s="34">
        <v>7091</v>
      </c>
      <c r="F222" s="46" t="s">
        <v>397</v>
      </c>
      <c r="G222" s="35">
        <v>45000</v>
      </c>
      <c r="H222" s="40">
        <v>45000</v>
      </c>
    </row>
    <row r="223" spans="1:8" s="15" customFormat="1" ht="26.1" customHeight="1" x14ac:dyDescent="0.2">
      <c r="A223" s="67" t="s">
        <v>1098</v>
      </c>
      <c r="B223" s="43" t="s">
        <v>423</v>
      </c>
      <c r="C223" s="46" t="s">
        <v>430</v>
      </c>
      <c r="D223" s="44" t="s">
        <v>437</v>
      </c>
      <c r="E223" s="34">
        <v>6954</v>
      </c>
      <c r="F223" s="46" t="s">
        <v>431</v>
      </c>
      <c r="G223" s="35">
        <f>15000*3</f>
        <v>45000</v>
      </c>
      <c r="H223" s="40">
        <f>15000*3</f>
        <v>45000</v>
      </c>
    </row>
    <row r="224" spans="1:8" s="15" customFormat="1" ht="26.1" customHeight="1" x14ac:dyDescent="0.2">
      <c r="A224" s="67" t="s">
        <v>1098</v>
      </c>
      <c r="B224" s="43" t="s">
        <v>676</v>
      </c>
      <c r="C224" s="46" t="s">
        <v>39</v>
      </c>
      <c r="D224" s="44" t="s">
        <v>704</v>
      </c>
      <c r="E224" s="47">
        <v>7780</v>
      </c>
      <c r="F224" s="46" t="s">
        <v>692</v>
      </c>
      <c r="G224" s="35">
        <v>45000</v>
      </c>
      <c r="H224" s="40">
        <v>45000</v>
      </c>
    </row>
    <row r="225" spans="1:8" s="15" customFormat="1" ht="26.1" customHeight="1" x14ac:dyDescent="0.2">
      <c r="A225" s="67" t="s">
        <v>1098</v>
      </c>
      <c r="B225" s="43" t="s">
        <v>715</v>
      </c>
      <c r="C225" s="46" t="s">
        <v>46</v>
      </c>
      <c r="D225" s="44" t="s">
        <v>729</v>
      </c>
      <c r="E225" s="47">
        <v>7816</v>
      </c>
      <c r="F225" s="46" t="s">
        <v>739</v>
      </c>
      <c r="G225" s="35">
        <f>15000*3</f>
        <v>45000</v>
      </c>
      <c r="H225" s="40">
        <f>15000*3</f>
        <v>45000</v>
      </c>
    </row>
    <row r="226" spans="1:8" s="15" customFormat="1" ht="26.1" customHeight="1" x14ac:dyDescent="0.2">
      <c r="A226" s="67" t="s">
        <v>1098</v>
      </c>
      <c r="B226" s="43" t="s">
        <v>716</v>
      </c>
      <c r="C226" s="46" t="s">
        <v>46</v>
      </c>
      <c r="D226" s="44" t="s">
        <v>730</v>
      </c>
      <c r="E226" s="47">
        <v>7817</v>
      </c>
      <c r="F226" s="46" t="s">
        <v>739</v>
      </c>
      <c r="G226" s="35">
        <f>15000*3</f>
        <v>45000</v>
      </c>
      <c r="H226" s="40">
        <f>15000*3</f>
        <v>45000</v>
      </c>
    </row>
    <row r="227" spans="1:8" s="15" customFormat="1" ht="26.1" customHeight="1" x14ac:dyDescent="0.2">
      <c r="A227" s="67" t="s">
        <v>1098</v>
      </c>
      <c r="B227" s="43" t="s">
        <v>728</v>
      </c>
      <c r="C227" s="46" t="s">
        <v>40</v>
      </c>
      <c r="D227" s="44" t="s">
        <v>738</v>
      </c>
      <c r="E227" s="47">
        <v>7899</v>
      </c>
      <c r="F227" s="46" t="s">
        <v>748</v>
      </c>
      <c r="G227" s="35">
        <f>15000*3</f>
        <v>45000</v>
      </c>
      <c r="H227" s="35">
        <f>15000*3</f>
        <v>45000</v>
      </c>
    </row>
    <row r="228" spans="1:8" s="15" customFormat="1" ht="26.1" customHeight="1" x14ac:dyDescent="0.2">
      <c r="A228" s="67" t="s">
        <v>1098</v>
      </c>
      <c r="B228" s="43" t="s">
        <v>756</v>
      </c>
      <c r="C228" s="46" t="s">
        <v>619</v>
      </c>
      <c r="D228" s="44" t="s">
        <v>283</v>
      </c>
      <c r="E228" s="47" t="s">
        <v>763</v>
      </c>
      <c r="F228" s="46" t="s">
        <v>298</v>
      </c>
      <c r="G228" s="35">
        <v>45000</v>
      </c>
      <c r="H228" s="40">
        <v>44500</v>
      </c>
    </row>
    <row r="229" spans="1:8" s="15" customFormat="1" ht="26.1" customHeight="1" x14ac:dyDescent="0.2">
      <c r="A229" s="67" t="s">
        <v>1098</v>
      </c>
      <c r="B229" s="43" t="s">
        <v>898</v>
      </c>
      <c r="C229" s="46" t="s">
        <v>46</v>
      </c>
      <c r="D229" s="44" t="s">
        <v>906</v>
      </c>
      <c r="E229" s="47">
        <v>8073</v>
      </c>
      <c r="F229" s="46" t="s">
        <v>914</v>
      </c>
      <c r="G229" s="35">
        <f>15000*3</f>
        <v>45000</v>
      </c>
      <c r="H229" s="35">
        <f>15000*3</f>
        <v>45000</v>
      </c>
    </row>
    <row r="230" spans="1:8" s="15" customFormat="1" ht="26.1" customHeight="1" x14ac:dyDescent="0.2">
      <c r="A230" s="67" t="s">
        <v>1098</v>
      </c>
      <c r="B230" s="43" t="s">
        <v>953</v>
      </c>
      <c r="C230" s="46" t="s">
        <v>557</v>
      </c>
      <c r="D230" s="44" t="s">
        <v>958</v>
      </c>
      <c r="E230" s="47">
        <v>8254</v>
      </c>
      <c r="F230" s="46" t="s">
        <v>966</v>
      </c>
      <c r="G230" s="35">
        <v>45000</v>
      </c>
      <c r="H230" s="35">
        <v>45000</v>
      </c>
    </row>
    <row r="231" spans="1:8" s="15" customFormat="1" ht="26.1" customHeight="1" x14ac:dyDescent="0.2">
      <c r="A231" s="67" t="s">
        <v>1098</v>
      </c>
      <c r="B231" s="43" t="s">
        <v>641</v>
      </c>
      <c r="C231" s="46" t="s">
        <v>39</v>
      </c>
      <c r="D231" s="44" t="s">
        <v>648</v>
      </c>
      <c r="E231" s="47">
        <v>7689</v>
      </c>
      <c r="F231" s="46" t="s">
        <v>646</v>
      </c>
      <c r="G231" s="35">
        <v>46311</v>
      </c>
      <c r="H231" s="40">
        <v>46311</v>
      </c>
    </row>
    <row r="232" spans="1:8" s="15" customFormat="1" ht="26.1" customHeight="1" x14ac:dyDescent="0.2">
      <c r="A232" s="67" t="s">
        <v>1098</v>
      </c>
      <c r="B232" s="43" t="s">
        <v>26</v>
      </c>
      <c r="C232" s="46" t="s">
        <v>43</v>
      </c>
      <c r="D232" s="44" t="s">
        <v>57</v>
      </c>
      <c r="E232" s="47">
        <v>6421</v>
      </c>
      <c r="F232" s="46" t="s">
        <v>74</v>
      </c>
      <c r="G232" s="35">
        <f>24000*2</f>
        <v>48000</v>
      </c>
      <c r="H232" s="40">
        <f>24000*2</f>
        <v>48000</v>
      </c>
    </row>
    <row r="233" spans="1:8" s="15" customFormat="1" ht="26.1" customHeight="1" x14ac:dyDescent="0.2">
      <c r="A233" s="67" t="s">
        <v>1098</v>
      </c>
      <c r="B233" s="43" t="s">
        <v>1083</v>
      </c>
      <c r="C233" s="46" t="s">
        <v>940</v>
      </c>
      <c r="D233" s="44" t="s">
        <v>1085</v>
      </c>
      <c r="E233" s="47">
        <v>8653</v>
      </c>
      <c r="F233" s="46" t="s">
        <v>1082</v>
      </c>
      <c r="G233" s="35">
        <f>15643+16200+16600</f>
        <v>48443</v>
      </c>
      <c r="H233" s="35">
        <f>15643+16200+16600</f>
        <v>48443</v>
      </c>
    </row>
    <row r="234" spans="1:8" s="15" customFormat="1" ht="26.1" customHeight="1" x14ac:dyDescent="0.2">
      <c r="A234" s="67" t="s">
        <v>1098</v>
      </c>
      <c r="B234" s="43" t="s">
        <v>804</v>
      </c>
      <c r="C234" s="46" t="s">
        <v>46</v>
      </c>
      <c r="D234" s="44" t="s">
        <v>807</v>
      </c>
      <c r="E234" s="47">
        <v>7966</v>
      </c>
      <c r="F234" s="46" t="s">
        <v>810</v>
      </c>
      <c r="G234" s="35">
        <f>16220*3</f>
        <v>48660</v>
      </c>
      <c r="H234" s="40">
        <f>16220*3</f>
        <v>48660</v>
      </c>
    </row>
    <row r="235" spans="1:8" s="15" customFormat="1" ht="26.1" customHeight="1" x14ac:dyDescent="0.2">
      <c r="A235" s="67" t="s">
        <v>1098</v>
      </c>
      <c r="B235" s="43" t="s">
        <v>34</v>
      </c>
      <c r="C235" s="46" t="s">
        <v>47</v>
      </c>
      <c r="D235" s="44" t="s">
        <v>63</v>
      </c>
      <c r="E235" s="47" t="s">
        <v>65</v>
      </c>
      <c r="F235" s="46" t="s">
        <v>82</v>
      </c>
      <c r="G235" s="35">
        <v>49000</v>
      </c>
      <c r="H235" s="40">
        <v>49000</v>
      </c>
    </row>
    <row r="236" spans="1:8" s="15" customFormat="1" ht="26.1" customHeight="1" x14ac:dyDescent="0.2">
      <c r="A236" s="67" t="s">
        <v>1098</v>
      </c>
      <c r="B236" s="43" t="s">
        <v>266</v>
      </c>
      <c r="C236" s="46" t="s">
        <v>124</v>
      </c>
      <c r="D236" s="44" t="s">
        <v>280</v>
      </c>
      <c r="E236" s="47">
        <v>6588</v>
      </c>
      <c r="F236" s="46" t="s">
        <v>295</v>
      </c>
      <c r="G236" s="35">
        <v>49000</v>
      </c>
      <c r="H236" s="40">
        <v>49000</v>
      </c>
    </row>
    <row r="237" spans="1:8" s="15" customFormat="1" ht="26.1" customHeight="1" x14ac:dyDescent="0.2">
      <c r="A237" s="67" t="s">
        <v>1098</v>
      </c>
      <c r="B237" s="43" t="s">
        <v>267</v>
      </c>
      <c r="C237" s="46" t="s">
        <v>124</v>
      </c>
      <c r="D237" s="44" t="s">
        <v>281</v>
      </c>
      <c r="E237" s="34">
        <v>6589</v>
      </c>
      <c r="F237" s="46" t="s">
        <v>296</v>
      </c>
      <c r="G237" s="35">
        <v>49000</v>
      </c>
      <c r="H237" s="40">
        <v>49000</v>
      </c>
    </row>
    <row r="238" spans="1:8" s="15" customFormat="1" ht="26.1" customHeight="1" x14ac:dyDescent="0.2">
      <c r="A238" s="67" t="s">
        <v>1098</v>
      </c>
      <c r="B238" s="43" t="s">
        <v>276</v>
      </c>
      <c r="C238" s="46" t="s">
        <v>94</v>
      </c>
      <c r="D238" s="44" t="s">
        <v>289</v>
      </c>
      <c r="E238" s="34">
        <v>7062</v>
      </c>
      <c r="F238" s="46" t="s">
        <v>305</v>
      </c>
      <c r="G238" s="35">
        <v>49500</v>
      </c>
      <c r="H238" s="40">
        <v>49500</v>
      </c>
    </row>
    <row r="239" spans="1:8" s="15" customFormat="1" ht="26.1" customHeight="1" x14ac:dyDescent="0.2">
      <c r="A239" s="67" t="s">
        <v>1098</v>
      </c>
      <c r="B239" s="43" t="s">
        <v>718</v>
      </c>
      <c r="C239" s="46" t="s">
        <v>94</v>
      </c>
      <c r="D239" s="44" t="s">
        <v>732</v>
      </c>
      <c r="E239" s="47">
        <v>7861</v>
      </c>
      <c r="F239" s="46" t="s">
        <v>741</v>
      </c>
      <c r="G239" s="35">
        <v>49500</v>
      </c>
      <c r="H239" s="40">
        <v>49500</v>
      </c>
    </row>
    <row r="240" spans="1:8" s="15" customFormat="1" ht="26.1" customHeight="1" x14ac:dyDescent="0.2">
      <c r="A240" s="67" t="s">
        <v>1098</v>
      </c>
      <c r="B240" s="43" t="s">
        <v>31</v>
      </c>
      <c r="C240" s="46" t="s">
        <v>45</v>
      </c>
      <c r="D240" s="44" t="s">
        <v>61</v>
      </c>
      <c r="E240" s="47">
        <v>6518</v>
      </c>
      <c r="F240" s="46" t="s">
        <v>79</v>
      </c>
      <c r="G240" s="35">
        <v>49980</v>
      </c>
      <c r="H240" s="40">
        <v>49980</v>
      </c>
    </row>
    <row r="241" spans="1:8" s="15" customFormat="1" ht="26.1" customHeight="1" x14ac:dyDescent="0.2">
      <c r="A241" s="67" t="s">
        <v>1098</v>
      </c>
      <c r="B241" s="43" t="s">
        <v>142</v>
      </c>
      <c r="C241" s="46" t="s">
        <v>44</v>
      </c>
      <c r="D241" s="44" t="s">
        <v>146</v>
      </c>
      <c r="E241" s="34">
        <v>6876</v>
      </c>
      <c r="F241" s="46" t="s">
        <v>149</v>
      </c>
      <c r="G241" s="35">
        <v>49999</v>
      </c>
      <c r="H241" s="40">
        <v>49999</v>
      </c>
    </row>
    <row r="242" spans="1:8" s="15" customFormat="1" ht="26.1" customHeight="1" x14ac:dyDescent="0.2">
      <c r="A242" s="67" t="s">
        <v>1098</v>
      </c>
      <c r="B242" s="43" t="s">
        <v>333</v>
      </c>
      <c r="C242" s="46" t="s">
        <v>47</v>
      </c>
      <c r="D242" s="44" t="s">
        <v>340</v>
      </c>
      <c r="E242" s="47">
        <v>7263</v>
      </c>
      <c r="F242" s="46" t="s">
        <v>337</v>
      </c>
      <c r="G242" s="35">
        <v>50000</v>
      </c>
      <c r="H242" s="40">
        <v>50000</v>
      </c>
    </row>
    <row r="243" spans="1:8" s="15" customFormat="1" ht="26.1" customHeight="1" x14ac:dyDescent="0.2">
      <c r="A243" s="67" t="s">
        <v>1098</v>
      </c>
      <c r="B243" s="43" t="s">
        <v>334</v>
      </c>
      <c r="C243" s="46" t="s">
        <v>47</v>
      </c>
      <c r="D243" s="44" t="s">
        <v>341</v>
      </c>
      <c r="E243" s="47">
        <v>7240</v>
      </c>
      <c r="F243" s="46" t="s">
        <v>337</v>
      </c>
      <c r="G243" s="35">
        <v>50000</v>
      </c>
      <c r="H243" s="40">
        <v>50000</v>
      </c>
    </row>
    <row r="244" spans="1:8" s="15" customFormat="1" ht="26.1" customHeight="1" x14ac:dyDescent="0.2">
      <c r="A244" s="67" t="s">
        <v>1098</v>
      </c>
      <c r="B244" s="43" t="s">
        <v>335</v>
      </c>
      <c r="C244" s="46" t="s">
        <v>47</v>
      </c>
      <c r="D244" s="44" t="s">
        <v>342</v>
      </c>
      <c r="E244" s="47">
        <v>7170</v>
      </c>
      <c r="F244" s="46" t="s">
        <v>338</v>
      </c>
      <c r="G244" s="35">
        <v>50000</v>
      </c>
      <c r="H244" s="40">
        <v>50000</v>
      </c>
    </row>
    <row r="245" spans="1:8" s="15" customFormat="1" ht="26.1" customHeight="1" x14ac:dyDescent="0.2">
      <c r="A245" s="67" t="s">
        <v>1098</v>
      </c>
      <c r="B245" s="43" t="s">
        <v>534</v>
      </c>
      <c r="C245" s="46" t="s">
        <v>41</v>
      </c>
      <c r="D245" s="44" t="s">
        <v>538</v>
      </c>
      <c r="E245" s="47" t="s">
        <v>539</v>
      </c>
      <c r="F245" s="46" t="s">
        <v>543</v>
      </c>
      <c r="G245" s="35">
        <f>25000*2</f>
        <v>50000</v>
      </c>
      <c r="H245" s="40">
        <v>22330</v>
      </c>
    </row>
    <row r="246" spans="1:8" s="15" customFormat="1" ht="26.1" customHeight="1" x14ac:dyDescent="0.2">
      <c r="A246" s="67" t="s">
        <v>1098</v>
      </c>
      <c r="B246" s="43" t="s">
        <v>866</v>
      </c>
      <c r="C246" s="46" t="s">
        <v>875</v>
      </c>
      <c r="D246" s="44" t="s">
        <v>876</v>
      </c>
      <c r="E246" s="47" t="s">
        <v>880</v>
      </c>
      <c r="F246" s="46" t="s">
        <v>872</v>
      </c>
      <c r="G246" s="35">
        <f>25000+25000</f>
        <v>50000</v>
      </c>
      <c r="H246" s="35">
        <v>45000</v>
      </c>
    </row>
    <row r="247" spans="1:8" s="15" customFormat="1" ht="26.1" customHeight="1" x14ac:dyDescent="0.2">
      <c r="A247" s="67" t="s">
        <v>1098</v>
      </c>
      <c r="B247" s="43" t="s">
        <v>868</v>
      </c>
      <c r="C247" s="46" t="s">
        <v>315</v>
      </c>
      <c r="D247" s="44" t="s">
        <v>878</v>
      </c>
      <c r="E247" s="47" t="s">
        <v>881</v>
      </c>
      <c r="F247" s="46" t="s">
        <v>874</v>
      </c>
      <c r="G247" s="35">
        <v>50000</v>
      </c>
      <c r="H247" s="35">
        <v>10000</v>
      </c>
    </row>
    <row r="248" spans="1:8" s="15" customFormat="1" ht="26.1" customHeight="1" x14ac:dyDescent="0.2">
      <c r="A248" s="67" t="s">
        <v>1098</v>
      </c>
      <c r="B248" s="43" t="s">
        <v>614</v>
      </c>
      <c r="C248" s="46" t="s">
        <v>39</v>
      </c>
      <c r="D248" s="44" t="s">
        <v>620</v>
      </c>
      <c r="E248" s="47">
        <v>7586</v>
      </c>
      <c r="F248" s="46" t="s">
        <v>617</v>
      </c>
      <c r="G248" s="35">
        <v>50065</v>
      </c>
      <c r="H248" s="40">
        <v>50065</v>
      </c>
    </row>
    <row r="249" spans="1:8" s="15" customFormat="1" ht="26.1" customHeight="1" x14ac:dyDescent="0.2">
      <c r="A249" s="67" t="s">
        <v>1098</v>
      </c>
      <c r="B249" s="43" t="s">
        <v>194</v>
      </c>
      <c r="C249" s="46" t="s">
        <v>200</v>
      </c>
      <c r="D249" s="44" t="s">
        <v>208</v>
      </c>
      <c r="E249" s="34">
        <v>6949</v>
      </c>
      <c r="F249" s="46" t="s">
        <v>222</v>
      </c>
      <c r="G249" s="35">
        <v>50611</v>
      </c>
      <c r="H249" s="40">
        <v>50611</v>
      </c>
    </row>
    <row r="250" spans="1:8" s="15" customFormat="1" ht="26.1" customHeight="1" x14ac:dyDescent="0.2">
      <c r="A250" s="67" t="s">
        <v>1098</v>
      </c>
      <c r="B250" s="43" t="s">
        <v>123</v>
      </c>
      <c r="C250" s="46" t="s">
        <v>125</v>
      </c>
      <c r="D250" s="44" t="s">
        <v>134</v>
      </c>
      <c r="E250" s="34">
        <v>6254</v>
      </c>
      <c r="F250" s="46" t="s">
        <v>141</v>
      </c>
      <c r="G250" s="35">
        <v>54348</v>
      </c>
      <c r="H250" s="40">
        <v>54348</v>
      </c>
    </row>
    <row r="251" spans="1:8" s="15" customFormat="1" ht="26.1" customHeight="1" x14ac:dyDescent="0.2">
      <c r="A251" s="67" t="s">
        <v>1098</v>
      </c>
      <c r="B251" s="43" t="s">
        <v>116</v>
      </c>
      <c r="C251" s="46" t="s">
        <v>42</v>
      </c>
      <c r="D251" s="44" t="s">
        <v>127</v>
      </c>
      <c r="E251" s="47">
        <v>6389</v>
      </c>
      <c r="F251" s="46" t="s">
        <v>136</v>
      </c>
      <c r="G251" s="49">
        <v>55000</v>
      </c>
      <c r="H251" s="50">
        <v>55000</v>
      </c>
    </row>
    <row r="252" spans="1:8" s="15" customFormat="1" ht="26.1" customHeight="1" x14ac:dyDescent="0.2">
      <c r="A252" s="67" t="s">
        <v>1098</v>
      </c>
      <c r="B252" s="43" t="s">
        <v>1060</v>
      </c>
      <c r="C252" s="46" t="s">
        <v>940</v>
      </c>
      <c r="D252" s="44" t="s">
        <v>1068</v>
      </c>
      <c r="E252" s="47">
        <v>8447</v>
      </c>
      <c r="F252" s="46" t="s">
        <v>1076</v>
      </c>
      <c r="G252" s="35">
        <v>55000</v>
      </c>
      <c r="H252" s="35">
        <v>55000</v>
      </c>
    </row>
    <row r="253" spans="1:8" s="15" customFormat="1" ht="26.1" customHeight="1" x14ac:dyDescent="0.2">
      <c r="A253" s="67" t="s">
        <v>1098</v>
      </c>
      <c r="B253" s="43" t="s">
        <v>973</v>
      </c>
      <c r="C253" s="46" t="s">
        <v>940</v>
      </c>
      <c r="D253" s="44" t="s">
        <v>978</v>
      </c>
      <c r="E253" s="47">
        <v>8297</v>
      </c>
      <c r="F253" s="46" t="s">
        <v>985</v>
      </c>
      <c r="G253" s="35">
        <v>56537</v>
      </c>
      <c r="H253" s="35">
        <v>56537</v>
      </c>
    </row>
    <row r="254" spans="1:8" s="15" customFormat="1" ht="26.1" customHeight="1" x14ac:dyDescent="0.2">
      <c r="A254" s="67" t="s">
        <v>1098</v>
      </c>
      <c r="B254" s="43" t="s">
        <v>312</v>
      </c>
      <c r="C254" s="46" t="s">
        <v>159</v>
      </c>
      <c r="D254" s="44" t="s">
        <v>320</v>
      </c>
      <c r="E254" s="34">
        <v>7032</v>
      </c>
      <c r="F254" s="46" t="s">
        <v>330</v>
      </c>
      <c r="G254" s="35">
        <v>56715</v>
      </c>
      <c r="H254" s="40">
        <v>86640</v>
      </c>
    </row>
    <row r="255" spans="1:8" s="15" customFormat="1" ht="26.1" customHeight="1" x14ac:dyDescent="0.2">
      <c r="A255" s="67" t="s">
        <v>1098</v>
      </c>
      <c r="B255" s="43" t="s">
        <v>604</v>
      </c>
      <c r="C255" s="46" t="s">
        <v>38</v>
      </c>
      <c r="D255" s="44" t="s">
        <v>610</v>
      </c>
      <c r="E255" s="47">
        <v>7324</v>
      </c>
      <c r="F255" s="46" t="s">
        <v>598</v>
      </c>
      <c r="G255" s="35">
        <v>59520</v>
      </c>
      <c r="H255" s="40">
        <v>59520</v>
      </c>
    </row>
    <row r="256" spans="1:8" s="15" customFormat="1" ht="26.1" customHeight="1" x14ac:dyDescent="0.2">
      <c r="A256" s="67" t="s">
        <v>1098</v>
      </c>
      <c r="B256" s="43" t="s">
        <v>156</v>
      </c>
      <c r="C256" s="46" t="s">
        <v>46</v>
      </c>
      <c r="D256" s="44" t="s">
        <v>160</v>
      </c>
      <c r="E256" s="34">
        <v>6401</v>
      </c>
      <c r="F256" s="46" t="s">
        <v>163</v>
      </c>
      <c r="G256" s="35">
        <f>20000+20000+20000</f>
        <v>60000</v>
      </c>
      <c r="H256" s="40">
        <f>20000+20000+20000</f>
        <v>60000</v>
      </c>
    </row>
    <row r="257" spans="1:8" s="15" customFormat="1" ht="26.1" customHeight="1" x14ac:dyDescent="0.2">
      <c r="A257" s="67" t="s">
        <v>1098</v>
      </c>
      <c r="B257" s="43" t="s">
        <v>167</v>
      </c>
      <c r="C257" s="46" t="s">
        <v>145</v>
      </c>
      <c r="D257" s="44" t="s">
        <v>174</v>
      </c>
      <c r="E257" s="34">
        <v>6573</v>
      </c>
      <c r="F257" s="46" t="s">
        <v>181</v>
      </c>
      <c r="G257" s="35">
        <f>20000+20000+20000</f>
        <v>60000</v>
      </c>
      <c r="H257" s="35">
        <f>20000+20000+20000</f>
        <v>60000</v>
      </c>
    </row>
    <row r="258" spans="1:8" s="15" customFormat="1" ht="26.1" customHeight="1" x14ac:dyDescent="0.2">
      <c r="A258" s="67" t="s">
        <v>1098</v>
      </c>
      <c r="B258" s="43" t="s">
        <v>457</v>
      </c>
      <c r="C258" s="46" t="s">
        <v>94</v>
      </c>
      <c r="D258" s="44" t="s">
        <v>468</v>
      </c>
      <c r="E258" s="34">
        <v>7294</v>
      </c>
      <c r="F258" s="46" t="s">
        <v>462</v>
      </c>
      <c r="G258" s="35">
        <f>30000*2</f>
        <v>60000</v>
      </c>
      <c r="H258" s="40">
        <f>30000*2</f>
        <v>60000</v>
      </c>
    </row>
    <row r="259" spans="1:8" s="15" customFormat="1" ht="26.1" customHeight="1" x14ac:dyDescent="0.2">
      <c r="A259" s="67" t="s">
        <v>1098</v>
      </c>
      <c r="B259" s="43" t="s">
        <v>497</v>
      </c>
      <c r="C259" s="46" t="s">
        <v>39</v>
      </c>
      <c r="D259" s="44" t="s">
        <v>176</v>
      </c>
      <c r="E259" s="47" t="s">
        <v>530</v>
      </c>
      <c r="F259" s="46" t="s">
        <v>510</v>
      </c>
      <c r="G259" s="35">
        <f>20000*3</f>
        <v>60000</v>
      </c>
      <c r="H259" s="40">
        <v>10000</v>
      </c>
    </row>
    <row r="260" spans="1:8" s="15" customFormat="1" ht="26.1" customHeight="1" x14ac:dyDescent="0.2">
      <c r="A260" s="67" t="s">
        <v>1098</v>
      </c>
      <c r="B260" s="43" t="s">
        <v>811</v>
      </c>
      <c r="C260" s="46" t="s">
        <v>46</v>
      </c>
      <c r="D260" s="44" t="s">
        <v>817</v>
      </c>
      <c r="E260" s="47">
        <v>7937</v>
      </c>
      <c r="F260" s="46" t="s">
        <v>827</v>
      </c>
      <c r="G260" s="35">
        <f>20000*3</f>
        <v>60000</v>
      </c>
      <c r="H260" s="40">
        <f>20000*3</f>
        <v>60000</v>
      </c>
    </row>
    <row r="261" spans="1:8" s="15" customFormat="1" ht="26.1" customHeight="1" x14ac:dyDescent="0.2">
      <c r="A261" s="67" t="s">
        <v>1098</v>
      </c>
      <c r="B261" s="43" t="s">
        <v>926</v>
      </c>
      <c r="C261" s="46" t="s">
        <v>46</v>
      </c>
      <c r="D261" s="44" t="s">
        <v>409</v>
      </c>
      <c r="E261" s="47">
        <v>8207</v>
      </c>
      <c r="F261" s="46" t="s">
        <v>934</v>
      </c>
      <c r="G261" s="35">
        <f>30000*2</f>
        <v>60000</v>
      </c>
      <c r="H261" s="35">
        <v>20000</v>
      </c>
    </row>
    <row r="262" spans="1:8" s="15" customFormat="1" ht="26.1" customHeight="1" x14ac:dyDescent="0.2">
      <c r="A262" s="67" t="s">
        <v>1098</v>
      </c>
      <c r="B262" s="43" t="s">
        <v>311</v>
      </c>
      <c r="C262" s="46" t="s">
        <v>125</v>
      </c>
      <c r="D262" s="44" t="s">
        <v>134</v>
      </c>
      <c r="E262" s="34">
        <v>7022</v>
      </c>
      <c r="F262" s="46" t="s">
        <v>327</v>
      </c>
      <c r="G262" s="35">
        <v>62401</v>
      </c>
      <c r="H262" s="40">
        <v>62401</v>
      </c>
    </row>
    <row r="263" spans="1:8" s="15" customFormat="1" ht="26.1" customHeight="1" x14ac:dyDescent="0.2">
      <c r="A263" s="67" t="s">
        <v>1098</v>
      </c>
      <c r="B263" s="43" t="s">
        <v>197</v>
      </c>
      <c r="C263" s="46" t="s">
        <v>94</v>
      </c>
      <c r="D263" s="44" t="s">
        <v>211</v>
      </c>
      <c r="E263" s="47">
        <v>6715</v>
      </c>
      <c r="F263" s="46" t="s">
        <v>225</v>
      </c>
      <c r="G263" s="35">
        <v>64000</v>
      </c>
      <c r="H263" s="40">
        <v>64000</v>
      </c>
    </row>
    <row r="264" spans="1:8" s="15" customFormat="1" ht="26.1" customHeight="1" x14ac:dyDescent="0.2">
      <c r="A264" s="67" t="s">
        <v>1098</v>
      </c>
      <c r="B264" s="43" t="s">
        <v>609</v>
      </c>
      <c r="C264" s="46" t="s">
        <v>315</v>
      </c>
      <c r="D264" s="44" t="s">
        <v>613</v>
      </c>
      <c r="E264" s="47">
        <v>7600</v>
      </c>
      <c r="F264" s="46" t="s">
        <v>602</v>
      </c>
      <c r="G264" s="35">
        <v>65000</v>
      </c>
      <c r="H264" s="40">
        <v>5000</v>
      </c>
    </row>
    <row r="265" spans="1:8" s="15" customFormat="1" ht="26.1" customHeight="1" x14ac:dyDescent="0.2">
      <c r="A265" s="67" t="s">
        <v>1098</v>
      </c>
      <c r="B265" s="43" t="s">
        <v>143</v>
      </c>
      <c r="C265" s="46" t="s">
        <v>145</v>
      </c>
      <c r="D265" s="44" t="s">
        <v>147</v>
      </c>
      <c r="E265" s="34">
        <v>6565</v>
      </c>
      <c r="F265" s="46" t="s">
        <v>150</v>
      </c>
      <c r="G265" s="35">
        <f>22000*3</f>
        <v>66000</v>
      </c>
      <c r="H265" s="40">
        <f>22000*3</f>
        <v>66000</v>
      </c>
    </row>
    <row r="266" spans="1:8" s="15" customFormat="1" ht="26.1" customHeight="1" x14ac:dyDescent="0.2">
      <c r="A266" s="67" t="s">
        <v>1098</v>
      </c>
      <c r="B266" s="43" t="s">
        <v>972</v>
      </c>
      <c r="C266" s="46" t="s">
        <v>619</v>
      </c>
      <c r="D266" s="44" t="s">
        <v>977</v>
      </c>
      <c r="E266" s="47">
        <v>8295</v>
      </c>
      <c r="F266" s="46" t="s">
        <v>981</v>
      </c>
      <c r="G266" s="35">
        <v>68540</v>
      </c>
      <c r="H266" s="35">
        <v>68540</v>
      </c>
    </row>
    <row r="267" spans="1:8" s="15" customFormat="1" ht="26.1" customHeight="1" x14ac:dyDescent="0.2">
      <c r="A267" s="67" t="s">
        <v>1098</v>
      </c>
      <c r="B267" s="43" t="s">
        <v>753</v>
      </c>
      <c r="C267" s="46" t="s">
        <v>159</v>
      </c>
      <c r="D267" s="44" t="s">
        <v>288</v>
      </c>
      <c r="E267" s="47" t="s">
        <v>762</v>
      </c>
      <c r="F267" s="46" t="s">
        <v>765</v>
      </c>
      <c r="G267" s="35">
        <v>74000</v>
      </c>
      <c r="H267" s="40">
        <v>25000</v>
      </c>
    </row>
    <row r="268" spans="1:8" s="15" customFormat="1" ht="26.1" customHeight="1" x14ac:dyDescent="0.2">
      <c r="A268" s="67" t="s">
        <v>1098</v>
      </c>
      <c r="B268" s="43" t="s">
        <v>19</v>
      </c>
      <c r="C268" s="46" t="s">
        <v>37</v>
      </c>
      <c r="D268" s="44" t="s">
        <v>50</v>
      </c>
      <c r="E268" s="39">
        <v>6270</v>
      </c>
      <c r="F268" s="46" t="s">
        <v>68</v>
      </c>
      <c r="G268" s="35">
        <f>25000*3</f>
        <v>75000</v>
      </c>
      <c r="H268" s="40">
        <f>25000*3</f>
        <v>75000</v>
      </c>
    </row>
    <row r="269" spans="1:8" s="15" customFormat="1" ht="26.1" customHeight="1" x14ac:dyDescent="0.2">
      <c r="A269" s="67" t="s">
        <v>1098</v>
      </c>
      <c r="B269" s="43" t="s">
        <v>27</v>
      </c>
      <c r="C269" s="46" t="s">
        <v>44</v>
      </c>
      <c r="D269" s="44" t="s">
        <v>58</v>
      </c>
      <c r="E269" s="47">
        <v>6470</v>
      </c>
      <c r="F269" s="46" t="s">
        <v>75</v>
      </c>
      <c r="G269" s="35">
        <f>25000*3</f>
        <v>75000</v>
      </c>
      <c r="H269" s="40">
        <f>25000*3</f>
        <v>75000</v>
      </c>
    </row>
    <row r="270" spans="1:8" s="15" customFormat="1" ht="26.1" customHeight="1" x14ac:dyDescent="0.2">
      <c r="A270" s="67" t="s">
        <v>1098</v>
      </c>
      <c r="B270" s="43" t="s">
        <v>270</v>
      </c>
      <c r="C270" s="46" t="s">
        <v>94</v>
      </c>
      <c r="D270" s="44" t="s">
        <v>284</v>
      </c>
      <c r="E270" s="34">
        <v>7008</v>
      </c>
      <c r="F270" s="46" t="s">
        <v>299</v>
      </c>
      <c r="G270" s="35">
        <f>25000*3</f>
        <v>75000</v>
      </c>
      <c r="H270" s="35">
        <f>25000*3</f>
        <v>75000</v>
      </c>
    </row>
    <row r="271" spans="1:8" s="15" customFormat="1" ht="26.1" customHeight="1" x14ac:dyDescent="0.2">
      <c r="A271" s="67" t="s">
        <v>1098</v>
      </c>
      <c r="B271" s="43" t="s">
        <v>426</v>
      </c>
      <c r="C271" s="46" t="s">
        <v>40</v>
      </c>
      <c r="D271" s="44" t="s">
        <v>440</v>
      </c>
      <c r="E271" s="34">
        <v>7154</v>
      </c>
      <c r="F271" s="46" t="s">
        <v>432</v>
      </c>
      <c r="G271" s="35">
        <f>25000*3</f>
        <v>75000</v>
      </c>
      <c r="H271" s="40">
        <f>25000*3</f>
        <v>75000</v>
      </c>
    </row>
    <row r="272" spans="1:8" s="15" customFormat="1" ht="26.1" customHeight="1" x14ac:dyDescent="0.2">
      <c r="A272" s="67" t="s">
        <v>1098</v>
      </c>
      <c r="B272" s="43" t="s">
        <v>897</v>
      </c>
      <c r="C272" s="46" t="s">
        <v>46</v>
      </c>
      <c r="D272" s="44" t="s">
        <v>570</v>
      </c>
      <c r="E272" s="47">
        <v>8070</v>
      </c>
      <c r="F272" s="46" t="s">
        <v>913</v>
      </c>
      <c r="G272" s="35">
        <f>25000*3</f>
        <v>75000</v>
      </c>
      <c r="H272" s="35">
        <f>25000*3</f>
        <v>75000</v>
      </c>
    </row>
    <row r="273" spans="1:8" s="15" customFormat="1" ht="26.1" customHeight="1" x14ac:dyDescent="0.2">
      <c r="A273" s="67" t="s">
        <v>1098</v>
      </c>
      <c r="B273" s="43" t="s">
        <v>1040</v>
      </c>
      <c r="C273" s="46" t="s">
        <v>94</v>
      </c>
      <c r="D273" s="44" t="s">
        <v>1045</v>
      </c>
      <c r="E273" s="47">
        <v>8446</v>
      </c>
      <c r="F273" s="46" t="s">
        <v>1050</v>
      </c>
      <c r="G273" s="35">
        <f>25000*3</f>
        <v>75000</v>
      </c>
      <c r="H273" s="35">
        <f>25000*3</f>
        <v>75000</v>
      </c>
    </row>
    <row r="274" spans="1:8" s="15" customFormat="1" ht="26.1" customHeight="1" x14ac:dyDescent="0.2">
      <c r="A274" s="67" t="s">
        <v>1098</v>
      </c>
      <c r="B274" s="43" t="s">
        <v>867</v>
      </c>
      <c r="C274" s="46" t="s">
        <v>39</v>
      </c>
      <c r="D274" s="44" t="s">
        <v>877</v>
      </c>
      <c r="E274" s="47">
        <v>8138</v>
      </c>
      <c r="F274" s="46" t="s">
        <v>873</v>
      </c>
      <c r="G274" s="35">
        <v>77000</v>
      </c>
      <c r="H274" s="35">
        <v>77000</v>
      </c>
    </row>
    <row r="275" spans="1:8" s="15" customFormat="1" ht="26.1" customHeight="1" x14ac:dyDescent="0.2">
      <c r="A275" s="67" t="s">
        <v>1098</v>
      </c>
      <c r="B275" s="43" t="s">
        <v>920</v>
      </c>
      <c r="C275" s="46" t="s">
        <v>46</v>
      </c>
      <c r="D275" s="44" t="s">
        <v>521</v>
      </c>
      <c r="E275" s="47">
        <v>8108</v>
      </c>
      <c r="F275" s="46" t="s">
        <v>930</v>
      </c>
      <c r="G275" s="35">
        <v>77769</v>
      </c>
      <c r="H275" s="35">
        <v>77769</v>
      </c>
    </row>
    <row r="276" spans="1:8" s="15" customFormat="1" ht="26.1" customHeight="1" x14ac:dyDescent="0.2">
      <c r="A276" s="67" t="s">
        <v>1098</v>
      </c>
      <c r="B276" s="43" t="s">
        <v>192</v>
      </c>
      <c r="C276" s="46" t="s">
        <v>198</v>
      </c>
      <c r="D276" s="44" t="s">
        <v>206</v>
      </c>
      <c r="E276" s="47" t="s">
        <v>215</v>
      </c>
      <c r="F276" s="46" t="s">
        <v>220</v>
      </c>
      <c r="G276" s="35">
        <f>40000+40000</f>
        <v>80000</v>
      </c>
      <c r="H276" s="40">
        <v>40000</v>
      </c>
    </row>
    <row r="277" spans="1:8" s="15" customFormat="1" ht="26.1" customHeight="1" x14ac:dyDescent="0.2">
      <c r="A277" s="67" t="s">
        <v>1098</v>
      </c>
      <c r="B277" s="43" t="s">
        <v>477</v>
      </c>
      <c r="C277" s="46" t="s">
        <v>159</v>
      </c>
      <c r="D277" s="44" t="s">
        <v>482</v>
      </c>
      <c r="E277" s="47">
        <v>7363</v>
      </c>
      <c r="F277" s="46" t="s">
        <v>486</v>
      </c>
      <c r="G277" s="35">
        <v>80000</v>
      </c>
      <c r="H277" s="40">
        <v>80000</v>
      </c>
    </row>
    <row r="278" spans="1:8" s="15" customFormat="1" ht="26.1" customHeight="1" x14ac:dyDescent="0.2">
      <c r="A278" s="67" t="s">
        <v>1098</v>
      </c>
      <c r="B278" s="43" t="s">
        <v>925</v>
      </c>
      <c r="C278" s="46" t="s">
        <v>46</v>
      </c>
      <c r="D278" s="44" t="s">
        <v>910</v>
      </c>
      <c r="E278" s="47">
        <v>8205</v>
      </c>
      <c r="F278" s="46" t="s">
        <v>919</v>
      </c>
      <c r="G278" s="35">
        <f>40000+40000</f>
        <v>80000</v>
      </c>
      <c r="H278" s="35">
        <v>50000</v>
      </c>
    </row>
    <row r="279" spans="1:8" s="15" customFormat="1" ht="26.1" customHeight="1" x14ac:dyDescent="0.2">
      <c r="A279" s="67" t="s">
        <v>1098</v>
      </c>
      <c r="B279" s="43" t="s">
        <v>829</v>
      </c>
      <c r="C279" s="46" t="s">
        <v>159</v>
      </c>
      <c r="D279" s="44" t="s">
        <v>831</v>
      </c>
      <c r="E279" s="47">
        <v>8099</v>
      </c>
      <c r="F279" s="46" t="s">
        <v>833</v>
      </c>
      <c r="G279" s="35">
        <v>82154</v>
      </c>
      <c r="H279" s="40">
        <v>82154</v>
      </c>
    </row>
    <row r="280" spans="1:8" s="15" customFormat="1" ht="26.1" customHeight="1" x14ac:dyDescent="0.2">
      <c r="A280" s="67" t="s">
        <v>1098</v>
      </c>
      <c r="B280" s="43" t="s">
        <v>650</v>
      </c>
      <c r="C280" s="46" t="s">
        <v>159</v>
      </c>
      <c r="D280" s="44" t="s">
        <v>653</v>
      </c>
      <c r="E280" s="47" t="s">
        <v>655</v>
      </c>
      <c r="F280" s="46" t="s">
        <v>652</v>
      </c>
      <c r="G280" s="35">
        <v>84000</v>
      </c>
      <c r="H280" s="40">
        <v>15000</v>
      </c>
    </row>
    <row r="281" spans="1:8" s="15" customFormat="1" ht="26.1" customHeight="1" x14ac:dyDescent="0.2">
      <c r="A281" s="67" t="s">
        <v>1098</v>
      </c>
      <c r="B281" s="43" t="s">
        <v>189</v>
      </c>
      <c r="C281" s="46" t="s">
        <v>47</v>
      </c>
      <c r="D281" s="44" t="s">
        <v>203</v>
      </c>
      <c r="E281" s="47" t="s">
        <v>212</v>
      </c>
      <c r="F281" s="46" t="s">
        <v>218</v>
      </c>
      <c r="G281" s="35">
        <v>85000</v>
      </c>
      <c r="H281" s="40">
        <v>85000</v>
      </c>
    </row>
    <row r="282" spans="1:8" s="15" customFormat="1" ht="26.1" customHeight="1" x14ac:dyDescent="0.2">
      <c r="A282" s="67" t="s">
        <v>1098</v>
      </c>
      <c r="B282" s="43" t="s">
        <v>17</v>
      </c>
      <c r="C282" s="45" t="s">
        <v>35</v>
      </c>
      <c r="D282" s="45" t="s">
        <v>48</v>
      </c>
      <c r="E282" s="53">
        <v>5834</v>
      </c>
      <c r="F282" s="46" t="s">
        <v>66</v>
      </c>
      <c r="G282" s="41">
        <f>28520*3</f>
        <v>85560</v>
      </c>
      <c r="H282" s="41">
        <f>28520*3</f>
        <v>85560</v>
      </c>
    </row>
    <row r="283" spans="1:8" s="15" customFormat="1" ht="26.1" customHeight="1" x14ac:dyDescent="0.2">
      <c r="A283" s="67" t="s">
        <v>1098</v>
      </c>
      <c r="B283" s="43" t="s">
        <v>309</v>
      </c>
      <c r="C283" s="46" t="s">
        <v>46</v>
      </c>
      <c r="D283" s="44" t="s">
        <v>318</v>
      </c>
      <c r="E283" s="47">
        <v>6988</v>
      </c>
      <c r="F283" s="46" t="s">
        <v>325</v>
      </c>
      <c r="G283" s="35">
        <v>86064</v>
      </c>
      <c r="H283" s="40">
        <v>86064</v>
      </c>
    </row>
    <row r="284" spans="1:8" s="15" customFormat="1" ht="26.1" customHeight="1" x14ac:dyDescent="0.2">
      <c r="A284" s="67" t="s">
        <v>1098</v>
      </c>
      <c r="B284" s="43" t="s">
        <v>265</v>
      </c>
      <c r="C284" s="46" t="s">
        <v>40</v>
      </c>
      <c r="D284" s="44" t="s">
        <v>279</v>
      </c>
      <c r="E284" s="34">
        <v>6347</v>
      </c>
      <c r="F284" s="46" t="s">
        <v>294</v>
      </c>
      <c r="G284" s="35">
        <f>30000*3</f>
        <v>90000</v>
      </c>
      <c r="H284" s="40">
        <f>30000*3</f>
        <v>90000</v>
      </c>
    </row>
    <row r="285" spans="1:8" s="15" customFormat="1" ht="26.1" customHeight="1" x14ac:dyDescent="0.2">
      <c r="A285" s="67" t="s">
        <v>1098</v>
      </c>
      <c r="B285" s="43" t="s">
        <v>271</v>
      </c>
      <c r="C285" s="46" t="s">
        <v>94</v>
      </c>
      <c r="D285" s="44" t="s">
        <v>285</v>
      </c>
      <c r="E285" s="34">
        <v>7030</v>
      </c>
      <c r="F285" s="46" t="s">
        <v>300</v>
      </c>
      <c r="G285" s="35">
        <f>30000*3</f>
        <v>90000</v>
      </c>
      <c r="H285" s="40">
        <f>30000*3</f>
        <v>90000</v>
      </c>
    </row>
    <row r="286" spans="1:8" s="15" customFormat="1" ht="26.1" customHeight="1" x14ac:dyDescent="0.2">
      <c r="A286" s="67" t="s">
        <v>1098</v>
      </c>
      <c r="B286" s="43" t="s">
        <v>616</v>
      </c>
      <c r="C286" s="46" t="s">
        <v>46</v>
      </c>
      <c r="D286" s="44" t="s">
        <v>621</v>
      </c>
      <c r="E286" s="47">
        <v>7676</v>
      </c>
      <c r="F286" s="46" t="s">
        <v>618</v>
      </c>
      <c r="G286" s="35">
        <v>90000</v>
      </c>
      <c r="H286" s="40">
        <v>90000</v>
      </c>
    </row>
    <row r="287" spans="1:8" s="15" customFormat="1" ht="26.1" customHeight="1" x14ac:dyDescent="0.2">
      <c r="A287" s="67" t="s">
        <v>1098</v>
      </c>
      <c r="B287" s="43" t="s">
        <v>785</v>
      </c>
      <c r="C287" s="46" t="s">
        <v>46</v>
      </c>
      <c r="D287" s="44" t="s">
        <v>789</v>
      </c>
      <c r="E287" s="47" t="s">
        <v>792</v>
      </c>
      <c r="F287" s="46" t="s">
        <v>799</v>
      </c>
      <c r="G287" s="35">
        <f>30000*3</f>
        <v>90000</v>
      </c>
      <c r="H287" s="40">
        <v>65000</v>
      </c>
    </row>
    <row r="288" spans="1:8" s="15" customFormat="1" ht="26.1" customHeight="1" x14ac:dyDescent="0.2">
      <c r="A288" s="67" t="s">
        <v>1098</v>
      </c>
      <c r="B288" s="43" t="s">
        <v>903</v>
      </c>
      <c r="C288" s="46" t="s">
        <v>46</v>
      </c>
      <c r="D288" s="44" t="s">
        <v>910</v>
      </c>
      <c r="E288" s="47">
        <v>8205</v>
      </c>
      <c r="F288" s="46" t="s">
        <v>919</v>
      </c>
      <c r="G288" s="35">
        <f>30000*3</f>
        <v>90000</v>
      </c>
      <c r="H288" s="35">
        <f>30000*3</f>
        <v>90000</v>
      </c>
    </row>
    <row r="289" spans="1:8" s="15" customFormat="1" ht="26.1" customHeight="1" x14ac:dyDescent="0.2">
      <c r="A289" s="67" t="s">
        <v>1098</v>
      </c>
      <c r="B289" s="43" t="s">
        <v>752</v>
      </c>
      <c r="C289" s="46" t="s">
        <v>159</v>
      </c>
      <c r="D289" s="44" t="s">
        <v>758</v>
      </c>
      <c r="E289" s="47">
        <v>7882</v>
      </c>
      <c r="F289" s="46" t="s">
        <v>766</v>
      </c>
      <c r="G289" s="35">
        <v>93300</v>
      </c>
      <c r="H289" s="40">
        <v>93300</v>
      </c>
    </row>
    <row r="290" spans="1:8" s="15" customFormat="1" ht="26.1" customHeight="1" x14ac:dyDescent="0.2">
      <c r="A290" s="67" t="s">
        <v>1098</v>
      </c>
      <c r="B290" s="43" t="s">
        <v>119</v>
      </c>
      <c r="C290" s="46" t="s">
        <v>124</v>
      </c>
      <c r="D290" s="44" t="s">
        <v>130</v>
      </c>
      <c r="E290" s="47">
        <v>6581</v>
      </c>
      <c r="F290" s="46" t="s">
        <v>139</v>
      </c>
      <c r="G290" s="35">
        <v>95000</v>
      </c>
      <c r="H290" s="40">
        <v>95000</v>
      </c>
    </row>
    <row r="291" spans="1:8" s="15" customFormat="1" ht="26.1" customHeight="1" x14ac:dyDescent="0.2">
      <c r="A291" s="67" t="s">
        <v>1098</v>
      </c>
      <c r="B291" s="43" t="s">
        <v>120</v>
      </c>
      <c r="C291" s="46" t="s">
        <v>124</v>
      </c>
      <c r="D291" s="44" t="s">
        <v>131</v>
      </c>
      <c r="E291" s="47">
        <v>6583</v>
      </c>
      <c r="F291" s="46" t="s">
        <v>139</v>
      </c>
      <c r="G291" s="35">
        <v>95000</v>
      </c>
      <c r="H291" s="40">
        <v>95000</v>
      </c>
    </row>
    <row r="292" spans="1:8" s="15" customFormat="1" ht="26.1" customHeight="1" x14ac:dyDescent="0.2">
      <c r="A292" s="67" t="s">
        <v>1098</v>
      </c>
      <c r="B292" s="43" t="s">
        <v>121</v>
      </c>
      <c r="C292" s="46" t="s">
        <v>124</v>
      </c>
      <c r="D292" s="44" t="s">
        <v>132</v>
      </c>
      <c r="E292" s="47">
        <v>6582</v>
      </c>
      <c r="F292" s="46" t="s">
        <v>139</v>
      </c>
      <c r="G292" s="35">
        <v>95000</v>
      </c>
      <c r="H292" s="40">
        <v>95000</v>
      </c>
    </row>
    <row r="293" spans="1:8" s="15" customFormat="1" ht="26.1" customHeight="1" x14ac:dyDescent="0.2">
      <c r="A293" s="67" t="s">
        <v>1098</v>
      </c>
      <c r="B293" s="43" t="s">
        <v>122</v>
      </c>
      <c r="C293" s="46" t="s">
        <v>124</v>
      </c>
      <c r="D293" s="44" t="s">
        <v>133</v>
      </c>
      <c r="E293" s="47">
        <v>6580</v>
      </c>
      <c r="F293" s="46" t="s">
        <v>140</v>
      </c>
      <c r="G293" s="35">
        <v>95000</v>
      </c>
      <c r="H293" s="40">
        <v>95000</v>
      </c>
    </row>
    <row r="294" spans="1:8" s="15" customFormat="1" ht="26.1" customHeight="1" x14ac:dyDescent="0.2">
      <c r="A294" s="67" t="s">
        <v>1098</v>
      </c>
      <c r="B294" s="43" t="s">
        <v>478</v>
      </c>
      <c r="C294" s="46" t="s">
        <v>45</v>
      </c>
      <c r="D294" s="44" t="s">
        <v>483</v>
      </c>
      <c r="E294" s="47" t="s">
        <v>65</v>
      </c>
      <c r="F294" s="46" t="s">
        <v>487</v>
      </c>
      <c r="G294" s="35">
        <v>95000</v>
      </c>
      <c r="H294" s="40">
        <v>95000</v>
      </c>
    </row>
    <row r="295" spans="1:8" s="15" customFormat="1" ht="26.1" customHeight="1" x14ac:dyDescent="0.2">
      <c r="A295" s="67" t="s">
        <v>1098</v>
      </c>
      <c r="B295" s="43" t="s">
        <v>950</v>
      </c>
      <c r="C295" s="46" t="s">
        <v>557</v>
      </c>
      <c r="D295" s="44" t="s">
        <v>951</v>
      </c>
      <c r="E295" s="47">
        <v>8290</v>
      </c>
      <c r="F295" s="46" t="s">
        <v>1089</v>
      </c>
      <c r="G295" s="35">
        <v>95000</v>
      </c>
      <c r="H295" s="35">
        <v>95000</v>
      </c>
    </row>
    <row r="296" spans="1:8" s="15" customFormat="1" ht="26.1" customHeight="1" x14ac:dyDescent="0.2">
      <c r="A296" s="67" t="s">
        <v>1098</v>
      </c>
      <c r="B296" s="43" t="s">
        <v>244</v>
      </c>
      <c r="C296" s="46" t="s">
        <v>94</v>
      </c>
      <c r="D296" s="44" t="s">
        <v>252</v>
      </c>
      <c r="E296" s="34">
        <v>6761</v>
      </c>
      <c r="F296" s="46" t="s">
        <v>259</v>
      </c>
      <c r="G296" s="35">
        <f>31700*3</f>
        <v>95100</v>
      </c>
      <c r="H296" s="40">
        <f>31700*3</f>
        <v>95100</v>
      </c>
    </row>
    <row r="297" spans="1:8" s="15" customFormat="1" ht="26.1" customHeight="1" x14ac:dyDescent="0.2">
      <c r="A297" s="67" t="s">
        <v>1098</v>
      </c>
      <c r="B297" s="43" t="s">
        <v>971</v>
      </c>
      <c r="C297" s="46" t="s">
        <v>46</v>
      </c>
      <c r="D297" s="44" t="s">
        <v>976</v>
      </c>
      <c r="E297" s="47">
        <v>8273</v>
      </c>
      <c r="F297" s="46" t="s">
        <v>983</v>
      </c>
      <c r="G297" s="35">
        <v>95987</v>
      </c>
      <c r="H297" s="35">
        <v>95987</v>
      </c>
    </row>
    <row r="298" spans="1:8" s="15" customFormat="1" ht="26.1" customHeight="1" x14ac:dyDescent="0.2">
      <c r="A298" s="67" t="s">
        <v>1098</v>
      </c>
      <c r="B298" s="43" t="s">
        <v>864</v>
      </c>
      <c r="C298" s="46" t="s">
        <v>42</v>
      </c>
      <c r="D298" s="44" t="s">
        <v>127</v>
      </c>
      <c r="E298" s="47">
        <v>7964</v>
      </c>
      <c r="F298" s="46" t="s">
        <v>870</v>
      </c>
      <c r="G298" s="35">
        <v>96000</v>
      </c>
      <c r="H298" s="35">
        <v>96000</v>
      </c>
    </row>
    <row r="299" spans="1:8" s="15" customFormat="1" ht="26.1" customHeight="1" x14ac:dyDescent="0.2">
      <c r="A299" s="67" t="s">
        <v>1098</v>
      </c>
      <c r="B299" s="43" t="s">
        <v>921</v>
      </c>
      <c r="C299" s="46" t="s">
        <v>46</v>
      </c>
      <c r="D299" s="44" t="s">
        <v>928</v>
      </c>
      <c r="E299" s="47">
        <v>8186</v>
      </c>
      <c r="F299" s="46" t="s">
        <v>931</v>
      </c>
      <c r="G299" s="35">
        <v>96175</v>
      </c>
      <c r="H299" s="35">
        <v>96175</v>
      </c>
    </row>
    <row r="300" spans="1:8" s="15" customFormat="1" ht="26.1" customHeight="1" x14ac:dyDescent="0.2">
      <c r="A300" s="67" t="s">
        <v>1098</v>
      </c>
      <c r="B300" s="43" t="s">
        <v>667</v>
      </c>
      <c r="C300" s="46" t="s">
        <v>159</v>
      </c>
      <c r="D300" s="44" t="s">
        <v>669</v>
      </c>
      <c r="E300" s="47">
        <v>7728</v>
      </c>
      <c r="F300" s="46" t="s">
        <v>671</v>
      </c>
      <c r="G300" s="35">
        <v>97200</v>
      </c>
      <c r="H300" s="40">
        <v>97200</v>
      </c>
    </row>
    <row r="301" spans="1:8" s="15" customFormat="1" ht="26.1" customHeight="1" x14ac:dyDescent="0.2">
      <c r="A301" s="67" t="s">
        <v>1098</v>
      </c>
      <c r="B301" s="43" t="s">
        <v>755</v>
      </c>
      <c r="C301" s="46" t="s">
        <v>757</v>
      </c>
      <c r="D301" s="44" t="s">
        <v>760</v>
      </c>
      <c r="E301" s="47" t="s">
        <v>65</v>
      </c>
      <c r="F301" s="46" t="s">
        <v>768</v>
      </c>
      <c r="G301" s="35">
        <v>98000</v>
      </c>
      <c r="H301" s="40">
        <v>98000</v>
      </c>
    </row>
    <row r="302" spans="1:8" s="15" customFormat="1" ht="26.1" customHeight="1" x14ac:dyDescent="0.2">
      <c r="A302" s="67" t="s">
        <v>1098</v>
      </c>
      <c r="B302" s="43" t="s">
        <v>188</v>
      </c>
      <c r="C302" s="46" t="s">
        <v>159</v>
      </c>
      <c r="D302" s="44" t="s">
        <v>202</v>
      </c>
      <c r="E302" s="34">
        <v>6929</v>
      </c>
      <c r="F302" s="46" t="s">
        <v>217</v>
      </c>
      <c r="G302" s="35">
        <v>99000</v>
      </c>
      <c r="H302" s="40">
        <v>99000</v>
      </c>
    </row>
    <row r="303" spans="1:8" s="15" customFormat="1" ht="26.1" customHeight="1" x14ac:dyDescent="0.2">
      <c r="A303" s="67" t="s">
        <v>1098</v>
      </c>
      <c r="B303" s="43" t="s">
        <v>190</v>
      </c>
      <c r="C303" s="46" t="s">
        <v>47</v>
      </c>
      <c r="D303" s="44" t="s">
        <v>204</v>
      </c>
      <c r="E303" s="47" t="s">
        <v>213</v>
      </c>
      <c r="F303" s="46" t="s">
        <v>219</v>
      </c>
      <c r="G303" s="35">
        <v>99000</v>
      </c>
      <c r="H303" s="40">
        <v>99000</v>
      </c>
    </row>
    <row r="304" spans="1:8" s="15" customFormat="1" ht="26.1" customHeight="1" x14ac:dyDescent="0.2">
      <c r="A304" s="67" t="s">
        <v>1098</v>
      </c>
      <c r="B304" s="43" t="s">
        <v>191</v>
      </c>
      <c r="C304" s="46" t="s">
        <v>47</v>
      </c>
      <c r="D304" s="44" t="s">
        <v>205</v>
      </c>
      <c r="E304" s="47" t="s">
        <v>214</v>
      </c>
      <c r="F304" s="46" t="s">
        <v>218</v>
      </c>
      <c r="G304" s="35">
        <v>99000</v>
      </c>
      <c r="H304" s="40">
        <v>99000</v>
      </c>
    </row>
    <row r="305" spans="1:8" s="15" customFormat="1" ht="26.1" customHeight="1" x14ac:dyDescent="0.2">
      <c r="A305" s="67" t="s">
        <v>1098</v>
      </c>
      <c r="B305" s="43" t="s">
        <v>193</v>
      </c>
      <c r="C305" s="46" t="s">
        <v>199</v>
      </c>
      <c r="D305" s="44" t="s">
        <v>207</v>
      </c>
      <c r="E305" s="34">
        <v>6925</v>
      </c>
      <c r="F305" s="46" t="s">
        <v>221</v>
      </c>
      <c r="G305" s="35">
        <v>99000</v>
      </c>
      <c r="H305" s="40">
        <v>99000</v>
      </c>
    </row>
    <row r="306" spans="1:8" s="15" customFormat="1" ht="26.1" customHeight="1" x14ac:dyDescent="0.2">
      <c r="A306" s="67" t="s">
        <v>1098</v>
      </c>
      <c r="B306" s="43" t="s">
        <v>195</v>
      </c>
      <c r="C306" s="46" t="s">
        <v>159</v>
      </c>
      <c r="D306" s="44" t="s">
        <v>209</v>
      </c>
      <c r="E306" s="34">
        <v>6980</v>
      </c>
      <c r="F306" s="46" t="s">
        <v>223</v>
      </c>
      <c r="G306" s="35">
        <v>99000</v>
      </c>
      <c r="H306" s="40">
        <v>99000</v>
      </c>
    </row>
    <row r="307" spans="1:8" s="15" customFormat="1" ht="26.1" customHeight="1" x14ac:dyDescent="0.2">
      <c r="A307" s="67" t="s">
        <v>1098</v>
      </c>
      <c r="B307" s="43" t="s">
        <v>308</v>
      </c>
      <c r="C307" s="46" t="s">
        <v>315</v>
      </c>
      <c r="D307" s="44" t="s">
        <v>317</v>
      </c>
      <c r="E307" s="47" t="s">
        <v>323</v>
      </c>
      <c r="F307" s="46" t="s">
        <v>324</v>
      </c>
      <c r="G307" s="35">
        <v>99000</v>
      </c>
      <c r="H307" s="40">
        <v>50000</v>
      </c>
    </row>
    <row r="308" spans="1:8" s="15" customFormat="1" ht="26.1" customHeight="1" x14ac:dyDescent="0.2">
      <c r="A308" s="67" t="s">
        <v>1098</v>
      </c>
      <c r="B308" s="43" t="s">
        <v>310</v>
      </c>
      <c r="C308" s="46" t="s">
        <v>159</v>
      </c>
      <c r="D308" s="44" t="s">
        <v>319</v>
      </c>
      <c r="E308" s="34">
        <v>7021</v>
      </c>
      <c r="F308" s="46" t="s">
        <v>326</v>
      </c>
      <c r="G308" s="35">
        <v>99000</v>
      </c>
      <c r="H308" s="40">
        <v>99000</v>
      </c>
    </row>
    <row r="309" spans="1:8" s="15" customFormat="1" ht="26.1" customHeight="1" x14ac:dyDescent="0.2">
      <c r="A309" s="67" t="s">
        <v>1098</v>
      </c>
      <c r="B309" s="43" t="s">
        <v>314</v>
      </c>
      <c r="C309" s="46" t="s">
        <v>159</v>
      </c>
      <c r="D309" s="44" t="s">
        <v>322</v>
      </c>
      <c r="E309" s="47">
        <v>7110</v>
      </c>
      <c r="F309" s="46" t="s">
        <v>329</v>
      </c>
      <c r="G309" s="35">
        <v>99000</v>
      </c>
      <c r="H309" s="40">
        <v>99000</v>
      </c>
    </row>
    <row r="310" spans="1:8" s="15" customFormat="1" ht="26.1" customHeight="1" x14ac:dyDescent="0.2">
      <c r="A310" s="67" t="s">
        <v>1098</v>
      </c>
      <c r="B310" s="43" t="s">
        <v>332</v>
      </c>
      <c r="C310" s="46" t="s">
        <v>47</v>
      </c>
      <c r="D310" s="44" t="s">
        <v>339</v>
      </c>
      <c r="E310" s="47">
        <v>7165</v>
      </c>
      <c r="F310" s="46" t="s">
        <v>336</v>
      </c>
      <c r="G310" s="35">
        <v>99000</v>
      </c>
      <c r="H310" s="40">
        <v>99000</v>
      </c>
    </row>
    <row r="311" spans="1:8" s="15" customFormat="1" ht="26.1" customHeight="1" x14ac:dyDescent="0.2">
      <c r="A311" s="67" t="s">
        <v>1098</v>
      </c>
      <c r="B311" s="43" t="s">
        <v>445</v>
      </c>
      <c r="C311" s="46" t="s">
        <v>315</v>
      </c>
      <c r="D311" s="44" t="s">
        <v>447</v>
      </c>
      <c r="E311" s="34">
        <v>6459</v>
      </c>
      <c r="F311" s="46" t="s">
        <v>449</v>
      </c>
      <c r="G311" s="35">
        <v>99000</v>
      </c>
      <c r="H311" s="40">
        <v>95000</v>
      </c>
    </row>
    <row r="312" spans="1:8" s="15" customFormat="1" ht="26.1" customHeight="1" x14ac:dyDescent="0.2">
      <c r="A312" s="67" t="s">
        <v>1098</v>
      </c>
      <c r="B312" s="43" t="s">
        <v>476</v>
      </c>
      <c r="C312" s="46" t="s">
        <v>45</v>
      </c>
      <c r="D312" s="44" t="s">
        <v>481</v>
      </c>
      <c r="E312" s="47">
        <v>7359</v>
      </c>
      <c r="F312" s="58" t="s">
        <v>485</v>
      </c>
      <c r="G312" s="35">
        <v>99000</v>
      </c>
      <c r="H312" s="40">
        <v>99000</v>
      </c>
    </row>
    <row r="313" spans="1:8" s="15" customFormat="1" ht="26.1" customHeight="1" x14ac:dyDescent="0.2">
      <c r="A313" s="67" t="s">
        <v>1098</v>
      </c>
      <c r="B313" s="43" t="s">
        <v>531</v>
      </c>
      <c r="C313" s="46" t="s">
        <v>159</v>
      </c>
      <c r="D313" s="44" t="s">
        <v>535</v>
      </c>
      <c r="E313" s="34">
        <v>7386</v>
      </c>
      <c r="F313" s="46" t="s">
        <v>540</v>
      </c>
      <c r="G313" s="35">
        <v>99000</v>
      </c>
      <c r="H313" s="40">
        <v>99000</v>
      </c>
    </row>
    <row r="314" spans="1:8" s="15" customFormat="1" ht="26.1" customHeight="1" x14ac:dyDescent="0.2">
      <c r="A314" s="67" t="s">
        <v>1098</v>
      </c>
      <c r="B314" s="43" t="s">
        <v>533</v>
      </c>
      <c r="C314" s="46" t="s">
        <v>159</v>
      </c>
      <c r="D314" s="44" t="s">
        <v>537</v>
      </c>
      <c r="E314" s="34">
        <v>7441</v>
      </c>
      <c r="F314" s="46" t="s">
        <v>542</v>
      </c>
      <c r="G314" s="35">
        <v>99000</v>
      </c>
      <c r="H314" s="40">
        <v>99000</v>
      </c>
    </row>
    <row r="315" spans="1:8" s="15" customFormat="1" ht="26.1" customHeight="1" x14ac:dyDescent="0.2">
      <c r="A315" s="67" t="s">
        <v>1098</v>
      </c>
      <c r="B315" s="43" t="s">
        <v>605</v>
      </c>
      <c r="C315" s="46" t="s">
        <v>315</v>
      </c>
      <c r="D315" s="44" t="s">
        <v>611</v>
      </c>
      <c r="E315" s="47">
        <v>7449</v>
      </c>
      <c r="F315" s="46" t="s">
        <v>603</v>
      </c>
      <c r="G315" s="35">
        <v>99000</v>
      </c>
      <c r="H315" s="40">
        <v>99000</v>
      </c>
    </row>
    <row r="316" spans="1:8" s="15" customFormat="1" ht="26.1" customHeight="1" x14ac:dyDescent="0.2">
      <c r="A316" s="67" t="s">
        <v>1098</v>
      </c>
      <c r="B316" s="43" t="s">
        <v>607</v>
      </c>
      <c r="C316" s="46" t="s">
        <v>159</v>
      </c>
      <c r="D316" s="44" t="s">
        <v>286</v>
      </c>
      <c r="E316" s="47">
        <v>7569</v>
      </c>
      <c r="F316" s="46" t="s">
        <v>600</v>
      </c>
      <c r="G316" s="35">
        <v>99000</v>
      </c>
      <c r="H316" s="40">
        <v>99000</v>
      </c>
    </row>
    <row r="317" spans="1:8" s="15" customFormat="1" ht="26.1" customHeight="1" x14ac:dyDescent="0.2">
      <c r="A317" s="67" t="s">
        <v>1098</v>
      </c>
      <c r="B317" s="43" t="s">
        <v>608</v>
      </c>
      <c r="C317" s="46" t="s">
        <v>159</v>
      </c>
      <c r="D317" s="44" t="s">
        <v>612</v>
      </c>
      <c r="E317" s="47">
        <v>7570</v>
      </c>
      <c r="F317" s="46" t="s">
        <v>601</v>
      </c>
      <c r="G317" s="35">
        <v>99000</v>
      </c>
      <c r="H317" s="40">
        <v>99000</v>
      </c>
    </row>
    <row r="318" spans="1:8" s="15" customFormat="1" ht="26.1" customHeight="1" x14ac:dyDescent="0.2">
      <c r="A318" s="67" t="s">
        <v>1098</v>
      </c>
      <c r="B318" s="43" t="s">
        <v>974</v>
      </c>
      <c r="C318" s="46" t="s">
        <v>940</v>
      </c>
      <c r="D318" s="44" t="s">
        <v>979</v>
      </c>
      <c r="E318" s="47">
        <v>8329</v>
      </c>
      <c r="F318" s="46" t="s">
        <v>982</v>
      </c>
      <c r="G318" s="35">
        <v>99000</v>
      </c>
      <c r="H318" s="35">
        <v>99000</v>
      </c>
    </row>
    <row r="319" spans="1:8" s="15" customFormat="1" ht="26.1" customHeight="1" x14ac:dyDescent="0.2">
      <c r="A319" s="67" t="s">
        <v>1098</v>
      </c>
      <c r="B319" s="43" t="s">
        <v>975</v>
      </c>
      <c r="C319" s="46" t="s">
        <v>940</v>
      </c>
      <c r="D319" s="44" t="s">
        <v>980</v>
      </c>
      <c r="E319" s="47">
        <v>8331</v>
      </c>
      <c r="F319" s="46" t="s">
        <v>984</v>
      </c>
      <c r="G319" s="35">
        <v>99000</v>
      </c>
      <c r="H319" s="35">
        <v>99000</v>
      </c>
    </row>
    <row r="320" spans="1:8" s="15" customFormat="1" ht="26.1" customHeight="1" x14ac:dyDescent="0.2">
      <c r="A320" s="67" t="s">
        <v>1098</v>
      </c>
      <c r="B320" s="43" t="s">
        <v>475</v>
      </c>
      <c r="C320" s="46" t="s">
        <v>479</v>
      </c>
      <c r="D320" s="44" t="s">
        <v>480</v>
      </c>
      <c r="E320" s="47">
        <v>7344</v>
      </c>
      <c r="F320" s="46" t="s">
        <v>484</v>
      </c>
      <c r="G320" s="35">
        <v>99475</v>
      </c>
      <c r="H320" s="40">
        <v>99475</v>
      </c>
    </row>
    <row r="321" spans="1:8" s="15" customFormat="1" ht="26.1" customHeight="1" x14ac:dyDescent="0.2">
      <c r="A321" s="67" t="s">
        <v>1098</v>
      </c>
      <c r="B321" s="43" t="s">
        <v>668</v>
      </c>
      <c r="C321" s="46" t="s">
        <v>159</v>
      </c>
      <c r="D321" s="44" t="s">
        <v>670</v>
      </c>
      <c r="E321" s="47">
        <v>7735</v>
      </c>
      <c r="F321" s="46" t="s">
        <v>672</v>
      </c>
      <c r="G321" s="35">
        <v>99750</v>
      </c>
      <c r="H321" s="40">
        <v>99750</v>
      </c>
    </row>
    <row r="322" spans="1:8" s="15" customFormat="1" ht="26.1" customHeight="1" x14ac:dyDescent="0.2">
      <c r="A322" s="67" t="s">
        <v>1098</v>
      </c>
      <c r="B322" s="43" t="s">
        <v>115</v>
      </c>
      <c r="C322" s="46" t="s">
        <v>37</v>
      </c>
      <c r="D322" s="44" t="s">
        <v>126</v>
      </c>
      <c r="E322" s="47">
        <v>6271</v>
      </c>
      <c r="F322" s="46" t="s">
        <v>135</v>
      </c>
      <c r="G322" s="49">
        <v>99860</v>
      </c>
      <c r="H322" s="50">
        <v>99860</v>
      </c>
    </row>
    <row r="323" spans="1:8" s="15" customFormat="1" ht="26.1" customHeight="1" x14ac:dyDescent="0.2">
      <c r="A323" s="67" t="s">
        <v>1098</v>
      </c>
      <c r="B323" s="43" t="s">
        <v>786</v>
      </c>
      <c r="C323" s="46" t="s">
        <v>94</v>
      </c>
      <c r="D323" s="44" t="s">
        <v>790</v>
      </c>
      <c r="E323" s="47">
        <v>7926</v>
      </c>
      <c r="F323" s="46" t="s">
        <v>797</v>
      </c>
      <c r="G323" s="35">
        <f>75000+25000</f>
        <v>100000</v>
      </c>
      <c r="H323" s="40">
        <f>75000+25000</f>
        <v>100000</v>
      </c>
    </row>
    <row r="324" spans="1:8" s="15" customFormat="1" ht="26.1" customHeight="1" x14ac:dyDescent="0.2">
      <c r="A324" s="67" t="s">
        <v>1098</v>
      </c>
      <c r="B324" s="43" t="s">
        <v>226</v>
      </c>
      <c r="C324" s="46" t="s">
        <v>198</v>
      </c>
      <c r="D324" s="44" t="s">
        <v>231</v>
      </c>
      <c r="E324" s="34">
        <v>6882</v>
      </c>
      <c r="F324" s="46" t="s">
        <v>240</v>
      </c>
      <c r="G324" s="35">
        <f>33565*3</f>
        <v>100695</v>
      </c>
      <c r="H324" s="40">
        <f>33565*3</f>
        <v>100695</v>
      </c>
    </row>
    <row r="325" spans="1:8" s="15" customFormat="1" ht="26.1" customHeight="1" x14ac:dyDescent="0.2">
      <c r="A325" s="67" t="s">
        <v>1098</v>
      </c>
      <c r="B325" s="43" t="s">
        <v>585</v>
      </c>
      <c r="C325" s="46" t="s">
        <v>159</v>
      </c>
      <c r="D325" s="44" t="s">
        <v>589</v>
      </c>
      <c r="E325" s="47">
        <v>7565</v>
      </c>
      <c r="F325" s="46" t="s">
        <v>594</v>
      </c>
      <c r="G325" s="35">
        <f>34560*3</f>
        <v>103680</v>
      </c>
      <c r="H325" s="40">
        <f>34560*3</f>
        <v>103680</v>
      </c>
    </row>
    <row r="326" spans="1:8" s="15" customFormat="1" ht="26.1" customHeight="1" x14ac:dyDescent="0.2">
      <c r="A326" s="67" t="s">
        <v>1098</v>
      </c>
      <c r="B326" s="43" t="s">
        <v>658</v>
      </c>
      <c r="C326" s="46" t="s">
        <v>94</v>
      </c>
      <c r="D326" s="46" t="s">
        <v>661</v>
      </c>
      <c r="E326" s="47">
        <v>7751</v>
      </c>
      <c r="F326" s="46" t="s">
        <v>665</v>
      </c>
      <c r="G326" s="35">
        <f>35000*3</f>
        <v>105000</v>
      </c>
      <c r="H326" s="40">
        <f>35000*3</f>
        <v>105000</v>
      </c>
    </row>
    <row r="327" spans="1:8" s="15" customFormat="1" ht="26.1" customHeight="1" x14ac:dyDescent="0.2">
      <c r="A327" s="67" t="s">
        <v>1098</v>
      </c>
      <c r="B327" s="43" t="s">
        <v>896</v>
      </c>
      <c r="C327" s="46" t="s">
        <v>46</v>
      </c>
      <c r="D327" s="44" t="s">
        <v>905</v>
      </c>
      <c r="E327" s="47">
        <v>8061</v>
      </c>
      <c r="F327" s="46" t="s">
        <v>913</v>
      </c>
      <c r="G327" s="35">
        <f>35000*3</f>
        <v>105000</v>
      </c>
      <c r="H327" s="35">
        <f>35000*3</f>
        <v>105000</v>
      </c>
    </row>
    <row r="328" spans="1:8" s="15" customFormat="1" ht="26.1" customHeight="1" x14ac:dyDescent="0.2">
      <c r="A328" s="67" t="s">
        <v>1098</v>
      </c>
      <c r="B328" s="43" t="s">
        <v>1079</v>
      </c>
      <c r="C328" s="46" t="s">
        <v>940</v>
      </c>
      <c r="D328" s="44" t="s">
        <v>161</v>
      </c>
      <c r="E328" s="47">
        <v>8517</v>
      </c>
      <c r="F328" s="46" t="s">
        <v>1082</v>
      </c>
      <c r="G328" s="35">
        <f>33089+35000+38000</f>
        <v>106089</v>
      </c>
      <c r="H328" s="35">
        <f>33089+35000+38000</f>
        <v>106089</v>
      </c>
    </row>
    <row r="329" spans="1:8" s="15" customFormat="1" ht="26.1" customHeight="1" x14ac:dyDescent="0.2">
      <c r="A329" s="67" t="s">
        <v>1098</v>
      </c>
      <c r="B329" s="43" t="s">
        <v>498</v>
      </c>
      <c r="C329" s="46" t="s">
        <v>159</v>
      </c>
      <c r="D329" s="44" t="s">
        <v>210</v>
      </c>
      <c r="E329" s="34">
        <v>7382</v>
      </c>
      <c r="F329" s="46" t="s">
        <v>511</v>
      </c>
      <c r="G329" s="35">
        <f>36332*3</f>
        <v>108996</v>
      </c>
      <c r="H329" s="40">
        <f>36332*3</f>
        <v>108996</v>
      </c>
    </row>
    <row r="330" spans="1:8" s="15" customFormat="1" ht="26.1" customHeight="1" x14ac:dyDescent="0.2">
      <c r="A330" s="67" t="s">
        <v>1098</v>
      </c>
      <c r="B330" s="43" t="s">
        <v>544</v>
      </c>
      <c r="C330" s="46" t="s">
        <v>557</v>
      </c>
      <c r="D330" s="44" t="s">
        <v>560</v>
      </c>
      <c r="E330" s="47">
        <v>7465</v>
      </c>
      <c r="F330" s="46" t="s">
        <v>571</v>
      </c>
      <c r="G330" s="35">
        <f>36800*3</f>
        <v>110400</v>
      </c>
      <c r="H330" s="40">
        <f>36800*3</f>
        <v>110400</v>
      </c>
    </row>
    <row r="331" spans="1:8" s="15" customFormat="1" ht="26.1" customHeight="1" x14ac:dyDescent="0.2">
      <c r="A331" s="67" t="s">
        <v>1098</v>
      </c>
      <c r="B331" s="43" t="s">
        <v>492</v>
      </c>
      <c r="C331" s="46" t="s">
        <v>517</v>
      </c>
      <c r="D331" s="44" t="s">
        <v>521</v>
      </c>
      <c r="E331" s="47">
        <v>7326</v>
      </c>
      <c r="F331" s="46" t="s">
        <v>505</v>
      </c>
      <c r="G331" s="35">
        <f>39912*3</f>
        <v>119736</v>
      </c>
      <c r="H331" s="40">
        <f>39912*3</f>
        <v>119736</v>
      </c>
    </row>
    <row r="332" spans="1:8" s="15" customFormat="1" ht="26.1" customHeight="1" x14ac:dyDescent="0.2">
      <c r="A332" s="67" t="s">
        <v>1098</v>
      </c>
      <c r="B332" s="43" t="s">
        <v>33</v>
      </c>
      <c r="C332" s="46" t="s">
        <v>46</v>
      </c>
      <c r="D332" s="44" t="s">
        <v>410</v>
      </c>
      <c r="E332" s="47">
        <v>6812</v>
      </c>
      <c r="F332" s="46" t="s">
        <v>81</v>
      </c>
      <c r="G332" s="35">
        <f>40000*3</f>
        <v>120000</v>
      </c>
      <c r="H332" s="40">
        <f>40000*3</f>
        <v>120000</v>
      </c>
    </row>
    <row r="333" spans="1:8" s="15" customFormat="1" ht="26.1" customHeight="1" x14ac:dyDescent="0.2">
      <c r="A333" s="67" t="s">
        <v>1098</v>
      </c>
      <c r="B333" s="43" t="s">
        <v>117</v>
      </c>
      <c r="C333" s="46" t="s">
        <v>43</v>
      </c>
      <c r="D333" s="44" t="s">
        <v>128</v>
      </c>
      <c r="E333" s="34">
        <v>6418</v>
      </c>
      <c r="F333" s="46" t="s">
        <v>137</v>
      </c>
      <c r="G333" s="35">
        <f>60000*2</f>
        <v>120000</v>
      </c>
      <c r="H333" s="40">
        <f>60000*2</f>
        <v>120000</v>
      </c>
    </row>
    <row r="334" spans="1:8" s="15" customFormat="1" ht="26.1" customHeight="1" x14ac:dyDescent="0.2">
      <c r="A334" s="67" t="s">
        <v>1098</v>
      </c>
      <c r="B334" s="43" t="s">
        <v>118</v>
      </c>
      <c r="C334" s="46" t="s">
        <v>43</v>
      </c>
      <c r="D334" s="44" t="s">
        <v>129</v>
      </c>
      <c r="E334" s="34">
        <v>6420</v>
      </c>
      <c r="F334" s="46" t="s">
        <v>138</v>
      </c>
      <c r="G334" s="35">
        <f>60000*2</f>
        <v>120000</v>
      </c>
      <c r="H334" s="40">
        <f>60000*2</f>
        <v>120000</v>
      </c>
    </row>
    <row r="335" spans="1:8" s="15" customFormat="1" ht="26.1" customHeight="1" x14ac:dyDescent="0.2">
      <c r="A335" s="67" t="s">
        <v>1098</v>
      </c>
      <c r="B335" s="43" t="s">
        <v>187</v>
      </c>
      <c r="C335" s="46" t="s">
        <v>94</v>
      </c>
      <c r="D335" s="44" t="s">
        <v>201</v>
      </c>
      <c r="E335" s="34">
        <v>6599</v>
      </c>
      <c r="F335" s="46" t="s">
        <v>216</v>
      </c>
      <c r="G335" s="40">
        <f>70000+70000</f>
        <v>140000</v>
      </c>
      <c r="H335" s="40">
        <f>70000+70000</f>
        <v>140000</v>
      </c>
    </row>
    <row r="336" spans="1:8" s="15" customFormat="1" ht="26.1" customHeight="1" x14ac:dyDescent="0.2">
      <c r="A336" s="67" t="s">
        <v>1098</v>
      </c>
      <c r="B336" s="43" t="s">
        <v>838</v>
      </c>
      <c r="C336" s="46" t="s">
        <v>557</v>
      </c>
      <c r="D336" s="44" t="s">
        <v>847</v>
      </c>
      <c r="E336" s="47">
        <v>8084</v>
      </c>
      <c r="F336" s="46" t="s">
        <v>857</v>
      </c>
      <c r="G336" s="35">
        <f>48750*3</f>
        <v>146250</v>
      </c>
      <c r="H336" s="40">
        <f>48750*3</f>
        <v>146250</v>
      </c>
    </row>
    <row r="337" spans="1:8" s="15" customFormat="1" ht="26.1" customHeight="1" x14ac:dyDescent="0.2">
      <c r="A337" s="67" t="s">
        <v>1098</v>
      </c>
      <c r="B337" s="43" t="s">
        <v>249</v>
      </c>
      <c r="C337" s="46" t="s">
        <v>44</v>
      </c>
      <c r="D337" s="44" t="s">
        <v>256</v>
      </c>
      <c r="E337" s="34">
        <v>6964</v>
      </c>
      <c r="F337" s="46" t="s">
        <v>264</v>
      </c>
      <c r="G337" s="35">
        <f>49000*3</f>
        <v>147000</v>
      </c>
      <c r="H337" s="40">
        <f>49000*3</f>
        <v>147000</v>
      </c>
    </row>
    <row r="338" spans="1:8" s="15" customFormat="1" ht="26.1" customHeight="1" x14ac:dyDescent="0.2">
      <c r="A338" s="67" t="s">
        <v>1098</v>
      </c>
      <c r="B338" s="43" t="s">
        <v>424</v>
      </c>
      <c r="C338" s="46" t="s">
        <v>94</v>
      </c>
      <c r="D338" s="44" t="s">
        <v>438</v>
      </c>
      <c r="E338" s="47" t="s">
        <v>443</v>
      </c>
      <c r="F338" s="46" t="s">
        <v>436</v>
      </c>
      <c r="G338" s="35">
        <f>49500*3</f>
        <v>148500</v>
      </c>
      <c r="H338" s="40">
        <v>49500</v>
      </c>
    </row>
    <row r="339" spans="1:8" s="15" customFormat="1" ht="26.1" customHeight="1" x14ac:dyDescent="0.2">
      <c r="A339" s="67" t="s">
        <v>1098</v>
      </c>
      <c r="B339" s="43" t="s">
        <v>1055</v>
      </c>
      <c r="C339" s="46" t="s">
        <v>94</v>
      </c>
      <c r="D339" s="44" t="s">
        <v>1064</v>
      </c>
      <c r="E339" s="47">
        <v>8341</v>
      </c>
      <c r="F339" s="46" t="s">
        <v>1072</v>
      </c>
      <c r="G339" s="35">
        <f>91350*2</f>
        <v>182700</v>
      </c>
      <c r="H339" s="35">
        <f>91350*2</f>
        <v>182700</v>
      </c>
    </row>
    <row r="340" spans="1:8" s="15" customFormat="1" ht="26.1" customHeight="1" x14ac:dyDescent="0.2">
      <c r="A340" s="67" t="s">
        <v>1098</v>
      </c>
      <c r="B340" s="43" t="s">
        <v>313</v>
      </c>
      <c r="C340" s="46" t="s">
        <v>316</v>
      </c>
      <c r="D340" s="44" t="s">
        <v>321</v>
      </c>
      <c r="E340" s="34">
        <v>7087</v>
      </c>
      <c r="F340" s="46" t="s">
        <v>328</v>
      </c>
      <c r="G340" s="35">
        <f>94900*2</f>
        <v>189800</v>
      </c>
      <c r="H340" s="35">
        <f>94900*2</f>
        <v>189800</v>
      </c>
    </row>
    <row r="341" spans="1:8" s="15" customFormat="1" ht="26.1" customHeight="1" x14ac:dyDescent="0.2">
      <c r="A341" s="67" t="s">
        <v>1098</v>
      </c>
      <c r="B341" s="43" t="s">
        <v>412</v>
      </c>
      <c r="C341" s="46" t="s">
        <v>159</v>
      </c>
      <c r="D341" s="44" t="s">
        <v>415</v>
      </c>
      <c r="E341" s="34">
        <v>7153</v>
      </c>
      <c r="F341" s="46" t="s">
        <v>596</v>
      </c>
      <c r="G341" s="40">
        <f>66500*3</f>
        <v>199500</v>
      </c>
      <c r="H341" s="40">
        <f>66500*3</f>
        <v>199500</v>
      </c>
    </row>
    <row r="342" spans="1:8" s="15" customFormat="1" ht="26.1" customHeight="1" x14ac:dyDescent="0.2">
      <c r="A342" s="67" t="s">
        <v>1098</v>
      </c>
      <c r="B342" s="43" t="s">
        <v>754</v>
      </c>
      <c r="C342" s="46" t="s">
        <v>557</v>
      </c>
      <c r="D342" s="44" t="s">
        <v>759</v>
      </c>
      <c r="E342" s="47">
        <v>7854</v>
      </c>
      <c r="F342" s="46" t="s">
        <v>767</v>
      </c>
      <c r="G342" s="35">
        <f>82000*3</f>
        <v>246000</v>
      </c>
      <c r="H342" s="40">
        <f>82000*3</f>
        <v>246000</v>
      </c>
    </row>
    <row r="343" spans="1:8" s="15" customFormat="1" ht="26.1" customHeight="1" x14ac:dyDescent="0.2">
      <c r="A343" s="67" t="s">
        <v>1098</v>
      </c>
      <c r="B343" s="43" t="s">
        <v>651</v>
      </c>
      <c r="C343" s="46" t="s">
        <v>46</v>
      </c>
      <c r="D343" s="44" t="s">
        <v>654</v>
      </c>
      <c r="E343" s="47">
        <v>7711</v>
      </c>
      <c r="F343" s="46" t="s">
        <v>863</v>
      </c>
      <c r="G343" s="40">
        <f>90000*3</f>
        <v>270000</v>
      </c>
      <c r="H343" s="40">
        <f>90000*3</f>
        <v>270000</v>
      </c>
    </row>
    <row r="344" spans="1:8" s="15" customFormat="1" ht="26.1" customHeight="1" x14ac:dyDescent="0.2">
      <c r="A344" s="67" t="s">
        <v>1098</v>
      </c>
      <c r="B344" s="43" t="s">
        <v>1054</v>
      </c>
      <c r="C344" s="46" t="s">
        <v>40</v>
      </c>
      <c r="D344" s="44" t="s">
        <v>1063</v>
      </c>
      <c r="E344" s="47">
        <v>8323</v>
      </c>
      <c r="F344" s="46" t="s">
        <v>1071</v>
      </c>
      <c r="G344" s="35">
        <f>90000*3</f>
        <v>270000</v>
      </c>
      <c r="H344" s="35">
        <f>90000*3</f>
        <v>270000</v>
      </c>
    </row>
    <row r="345" spans="1:8" s="15" customFormat="1" ht="26.1" customHeight="1" x14ac:dyDescent="0.2">
      <c r="A345" s="67" t="s">
        <v>1098</v>
      </c>
      <c r="B345" s="43" t="s">
        <v>922</v>
      </c>
      <c r="C345" s="46" t="s">
        <v>124</v>
      </c>
      <c r="D345" s="44" t="s">
        <v>132</v>
      </c>
      <c r="E345" s="47">
        <v>8196</v>
      </c>
      <c r="F345" s="46" t="s">
        <v>932</v>
      </c>
      <c r="G345" s="35">
        <f>95000*3</f>
        <v>285000</v>
      </c>
      <c r="H345" s="35">
        <f>95000*3</f>
        <v>285000</v>
      </c>
    </row>
    <row r="346" spans="1:8" s="15" customFormat="1" ht="26.1" customHeight="1" x14ac:dyDescent="0.2">
      <c r="A346" s="67" t="s">
        <v>1098</v>
      </c>
      <c r="B346" s="43" t="s">
        <v>923</v>
      </c>
      <c r="C346" s="46" t="s">
        <v>124</v>
      </c>
      <c r="D346" s="44" t="s">
        <v>929</v>
      </c>
      <c r="E346" s="47">
        <v>8197</v>
      </c>
      <c r="F346" s="46" t="s">
        <v>932</v>
      </c>
      <c r="G346" s="35">
        <f>95000*3</f>
        <v>285000</v>
      </c>
      <c r="H346" s="35">
        <f>95000*3</f>
        <v>285000</v>
      </c>
    </row>
    <row r="347" spans="1:8" s="15" customFormat="1" ht="26.1" customHeight="1" x14ac:dyDescent="0.2">
      <c r="A347" s="67" t="s">
        <v>1098</v>
      </c>
      <c r="B347" s="43" t="s">
        <v>924</v>
      </c>
      <c r="C347" s="46" t="s">
        <v>124</v>
      </c>
      <c r="D347" s="44" t="s">
        <v>1088</v>
      </c>
      <c r="E347" s="47">
        <v>8198</v>
      </c>
      <c r="F347" s="46" t="s">
        <v>933</v>
      </c>
      <c r="G347" s="35">
        <f>95000*3</f>
        <v>285000</v>
      </c>
      <c r="H347" s="35">
        <f>95000*3</f>
        <v>285000</v>
      </c>
    </row>
    <row r="348" spans="1:8" s="15" customFormat="1" ht="26.1" customHeight="1" x14ac:dyDescent="0.2">
      <c r="A348" s="67" t="s">
        <v>1098</v>
      </c>
      <c r="B348" s="43" t="s">
        <v>1057</v>
      </c>
      <c r="C348" s="46" t="s">
        <v>94</v>
      </c>
      <c r="D348" s="44" t="s">
        <v>1065</v>
      </c>
      <c r="E348" s="47">
        <v>8406</v>
      </c>
      <c r="F348" s="46" t="s">
        <v>1073</v>
      </c>
      <c r="G348" s="35">
        <f>95730*3</f>
        <v>287190</v>
      </c>
      <c r="H348" s="35">
        <f>95730*3</f>
        <v>287190</v>
      </c>
    </row>
    <row r="349" spans="1:8" s="15" customFormat="1" ht="26.1" customHeight="1" x14ac:dyDescent="0.2">
      <c r="A349" s="67" t="s">
        <v>1098</v>
      </c>
      <c r="B349" s="43" t="s">
        <v>532</v>
      </c>
      <c r="C349" s="46" t="s">
        <v>430</v>
      </c>
      <c r="D349" s="44" t="s">
        <v>536</v>
      </c>
      <c r="E349" s="34">
        <v>7397</v>
      </c>
      <c r="F349" s="46" t="s">
        <v>541</v>
      </c>
      <c r="G349" s="35">
        <f>96200*3</f>
        <v>288600</v>
      </c>
      <c r="H349" s="40">
        <f>96200*3</f>
        <v>288600</v>
      </c>
    </row>
    <row r="350" spans="1:8" s="15" customFormat="1" ht="26.1" customHeight="1" x14ac:dyDescent="0.2">
      <c r="A350" s="67" t="s">
        <v>1098</v>
      </c>
      <c r="B350" s="43" t="s">
        <v>446</v>
      </c>
      <c r="C350" s="46" t="s">
        <v>39</v>
      </c>
      <c r="D350" s="44" t="s">
        <v>448</v>
      </c>
      <c r="E350" s="34">
        <v>7193</v>
      </c>
      <c r="F350" s="46" t="s">
        <v>450</v>
      </c>
      <c r="G350" s="35">
        <f>98500*3</f>
        <v>295500</v>
      </c>
      <c r="H350" s="40">
        <f>98500*3</f>
        <v>295500</v>
      </c>
    </row>
    <row r="351" spans="1:8" s="15" customFormat="1" ht="26.1" customHeight="1" x14ac:dyDescent="0.2">
      <c r="A351" s="67" t="s">
        <v>1098</v>
      </c>
      <c r="B351" s="43" t="s">
        <v>411</v>
      </c>
      <c r="C351" s="46" t="s">
        <v>40</v>
      </c>
      <c r="D351" s="44" t="s">
        <v>414</v>
      </c>
      <c r="E351" s="34">
        <v>7105</v>
      </c>
      <c r="F351" s="46" t="s">
        <v>413</v>
      </c>
      <c r="G351" s="40">
        <f>98800*3</f>
        <v>296400</v>
      </c>
      <c r="H351" s="40">
        <f>98800*3</f>
        <v>296400</v>
      </c>
    </row>
    <row r="352" spans="1:8" s="15" customFormat="1" ht="26.1" customHeight="1" x14ac:dyDescent="0.2">
      <c r="A352" s="67" t="s">
        <v>1098</v>
      </c>
      <c r="B352" s="43" t="s">
        <v>784</v>
      </c>
      <c r="C352" s="46" t="s">
        <v>46</v>
      </c>
      <c r="D352" s="44" t="s">
        <v>286</v>
      </c>
      <c r="E352" s="47">
        <v>7830</v>
      </c>
      <c r="F352" s="46" t="s">
        <v>798</v>
      </c>
      <c r="G352" s="35">
        <f>98800*3</f>
        <v>296400</v>
      </c>
      <c r="H352" s="40">
        <f>98800*3</f>
        <v>296400</v>
      </c>
    </row>
    <row r="353" spans="1:20" s="15" customFormat="1" ht="26.1" customHeight="1" x14ac:dyDescent="0.2">
      <c r="A353" s="67" t="s">
        <v>1098</v>
      </c>
      <c r="B353" s="43" t="s">
        <v>828</v>
      </c>
      <c r="C353" s="46" t="s">
        <v>94</v>
      </c>
      <c r="D353" s="44" t="s">
        <v>830</v>
      </c>
      <c r="E353" s="47">
        <v>8042</v>
      </c>
      <c r="F353" s="46" t="s">
        <v>832</v>
      </c>
      <c r="G353" s="35">
        <f>99000*3</f>
        <v>297000</v>
      </c>
      <c r="H353" s="40">
        <f>99000*3</f>
        <v>297000</v>
      </c>
    </row>
    <row r="354" spans="1:20" s="15" customFormat="1" ht="26.1" customHeight="1" x14ac:dyDescent="0.2">
      <c r="A354" s="67" t="s">
        <v>1098</v>
      </c>
      <c r="B354" s="43" t="s">
        <v>1058</v>
      </c>
      <c r="C354" s="46" t="s">
        <v>94</v>
      </c>
      <c r="D354" s="44" t="s">
        <v>1066</v>
      </c>
      <c r="E354" s="47">
        <v>8408</v>
      </c>
      <c r="F354" s="46" t="s">
        <v>1074</v>
      </c>
      <c r="G354" s="35">
        <f>99000*3</f>
        <v>297000</v>
      </c>
      <c r="H354" s="35">
        <f>99000*3</f>
        <v>297000</v>
      </c>
    </row>
    <row r="355" spans="1:20" s="15" customFormat="1" ht="26.1" customHeight="1" x14ac:dyDescent="0.2">
      <c r="A355" s="67" t="s">
        <v>1098</v>
      </c>
      <c r="B355" s="43" t="s">
        <v>1059</v>
      </c>
      <c r="C355" s="46" t="s">
        <v>124</v>
      </c>
      <c r="D355" s="44" t="s">
        <v>1067</v>
      </c>
      <c r="E355" s="47">
        <v>8409</v>
      </c>
      <c r="F355" s="46" t="s">
        <v>1075</v>
      </c>
      <c r="G355" s="35">
        <f>99000*3</f>
        <v>297000</v>
      </c>
      <c r="H355" s="35">
        <f>99000*3</f>
        <v>297000</v>
      </c>
    </row>
    <row r="356" spans="1:20" s="15" customFormat="1" ht="26.1" customHeight="1" x14ac:dyDescent="0.2">
      <c r="A356" s="67" t="s">
        <v>1098</v>
      </c>
      <c r="B356" s="43" t="s">
        <v>1062</v>
      </c>
      <c r="C356" s="46" t="s">
        <v>124</v>
      </c>
      <c r="D356" s="44" t="s">
        <v>1069</v>
      </c>
      <c r="E356" s="47" t="s">
        <v>65</v>
      </c>
      <c r="F356" s="46" t="s">
        <v>1078</v>
      </c>
      <c r="G356" s="35">
        <f>99000*3</f>
        <v>297000</v>
      </c>
      <c r="H356" s="35">
        <f>99000*3</f>
        <v>297000</v>
      </c>
    </row>
    <row r="357" spans="1:20" s="15" customFormat="1" ht="26.1" customHeight="1" x14ac:dyDescent="0.2">
      <c r="A357" s="67" t="s">
        <v>1098</v>
      </c>
      <c r="B357" s="43" t="s">
        <v>196</v>
      </c>
      <c r="C357" s="46" t="s">
        <v>159</v>
      </c>
      <c r="D357" s="44" t="s">
        <v>210</v>
      </c>
      <c r="E357" s="34">
        <v>6987</v>
      </c>
      <c r="F357" s="46" t="s">
        <v>224</v>
      </c>
      <c r="G357" s="35">
        <f>99535*3</f>
        <v>298605</v>
      </c>
      <c r="H357" s="35">
        <f>99535*3</f>
        <v>298605</v>
      </c>
    </row>
    <row r="358" spans="1:20" s="15" customFormat="1" ht="26.25" customHeight="1" x14ac:dyDescent="0.2">
      <c r="B358" s="43"/>
      <c r="C358" s="46"/>
      <c r="D358" s="44"/>
      <c r="E358" s="34"/>
      <c r="F358" s="46"/>
      <c r="G358" s="35"/>
      <c r="H358" s="40"/>
    </row>
    <row r="359" spans="1:20" s="20" customFormat="1" ht="26.25" customHeight="1" x14ac:dyDescent="0.2">
      <c r="B359" s="14"/>
      <c r="C359" s="27"/>
      <c r="D359" s="33"/>
      <c r="E359" s="33"/>
      <c r="F359" s="11" t="s">
        <v>4</v>
      </c>
      <c r="G359" s="26">
        <f>SUM(G2:G358)</f>
        <v>18803193</v>
      </c>
      <c r="H359" s="26">
        <f>SUM(H2:H358)</f>
        <v>19279840</v>
      </c>
    </row>
    <row r="360" spans="1:20" s="20" customFormat="1" ht="26.25" customHeight="1" x14ac:dyDescent="0.2">
      <c r="B360" s="21"/>
      <c r="C360" s="22"/>
      <c r="D360" s="23"/>
      <c r="E360" s="23"/>
      <c r="F360" s="22"/>
      <c r="G360" s="19"/>
      <c r="H360" s="19"/>
    </row>
    <row r="361" spans="1:20" ht="26.25" customHeight="1" x14ac:dyDescent="0.2">
      <c r="B361" s="30"/>
      <c r="C361" s="31"/>
      <c r="D361" s="4"/>
      <c r="G361" s="19"/>
      <c r="H361" s="19"/>
    </row>
    <row r="362" spans="1:20" ht="24.95" customHeight="1" x14ac:dyDescent="0.25">
      <c r="D362" s="4"/>
      <c r="F362" s="59" t="s">
        <v>1091</v>
      </c>
      <c r="G362" s="60">
        <f>COUNTIF(A2:A357, "x")</f>
        <v>356</v>
      </c>
      <c r="H362" s="61">
        <f>+SUM(G2:G357)</f>
        <v>18803193</v>
      </c>
    </row>
    <row r="363" spans="1:20" ht="24.95" customHeight="1" x14ac:dyDescent="0.2">
      <c r="D363" s="4"/>
      <c r="F363" s="59"/>
      <c r="G363" s="62"/>
      <c r="H363" s="63"/>
    </row>
    <row r="364" spans="1:20" ht="24.95" customHeight="1" x14ac:dyDescent="0.25">
      <c r="D364" s="4"/>
      <c r="F364" s="64" t="s">
        <v>1092</v>
      </c>
      <c r="G364" s="60">
        <f>COUNTIF(A2:A149, "x")</f>
        <v>148</v>
      </c>
      <c r="H364" s="61">
        <f>+SUM(G2:G149)</f>
        <v>1917083</v>
      </c>
    </row>
    <row r="365" spans="1:20" ht="24.95" customHeight="1" x14ac:dyDescent="0.25">
      <c r="D365" s="4"/>
      <c r="F365" s="64" t="s">
        <v>1093</v>
      </c>
      <c r="G365" s="60">
        <f>COUNTIF(A150:A247, "x")</f>
        <v>98</v>
      </c>
      <c r="H365" s="61">
        <f>+SUM(G150:G247)</f>
        <v>3582938</v>
      </c>
    </row>
    <row r="366" spans="1:20" ht="24.95" customHeight="1" x14ac:dyDescent="0.25">
      <c r="D366" s="4"/>
      <c r="F366" s="64" t="s">
        <v>1094</v>
      </c>
      <c r="G366" s="60">
        <f>COUNTIF(A248:A357, "x")</f>
        <v>110</v>
      </c>
      <c r="H366" s="61">
        <f>+SUM(G248:G357)</f>
        <v>13303172</v>
      </c>
    </row>
    <row r="367" spans="1:20" s="4" customFormat="1" ht="24.95" customHeight="1" x14ac:dyDescent="0.25">
      <c r="A367"/>
      <c r="B367" s="12"/>
      <c r="C367" s="2"/>
      <c r="F367" s="64" t="s">
        <v>1095</v>
      </c>
      <c r="G367" s="60">
        <v>0</v>
      </c>
      <c r="H367" s="65">
        <v>0</v>
      </c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s="4" customFormat="1" ht="24.95" customHeight="1" x14ac:dyDescent="0.25">
      <c r="A368"/>
      <c r="B368" s="12"/>
      <c r="C368" s="2"/>
      <c r="F368" s="64" t="s">
        <v>1096</v>
      </c>
      <c r="G368" s="60">
        <v>0</v>
      </c>
      <c r="H368" s="65">
        <v>0</v>
      </c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s="4" customFormat="1" ht="24.95" customHeight="1" x14ac:dyDescent="0.2">
      <c r="A369"/>
      <c r="B369" s="12"/>
      <c r="C369" s="2"/>
      <c r="F369" s="64"/>
      <c r="G369" s="62"/>
      <c r="H369" s="63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s="4" customFormat="1" ht="24.95" customHeight="1" x14ac:dyDescent="0.25">
      <c r="A370"/>
      <c r="B370" s="12"/>
      <c r="C370" s="2"/>
      <c r="F370" s="66" t="s">
        <v>1097</v>
      </c>
      <c r="G370" s="60">
        <f>SUM(G364:G369)</f>
        <v>356</v>
      </c>
      <c r="H370" s="61">
        <f>SUM(H364:H369)</f>
        <v>18803193</v>
      </c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s="4" customFormat="1" x14ac:dyDescent="0.2">
      <c r="A371"/>
      <c r="B371" s="12"/>
      <c r="C371" s="2"/>
      <c r="F371" s="2"/>
      <c r="G371" s="3"/>
      <c r="H371" s="3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s="4" customFormat="1" x14ac:dyDescent="0.2">
      <c r="A372"/>
      <c r="B372" s="12"/>
      <c r="C372" s="2"/>
      <c r="F372" s="2"/>
      <c r="G372" s="3"/>
      <c r="H372" s="3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s="4" customFormat="1" x14ac:dyDescent="0.2">
      <c r="A373"/>
      <c r="B373" s="12"/>
      <c r="C373" s="2"/>
      <c r="F373" s="2"/>
      <c r="G373" s="3"/>
      <c r="H373" s="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s="4" customFormat="1" x14ac:dyDescent="0.2">
      <c r="A374"/>
      <c r="B374" s="12"/>
      <c r="C374" s="2"/>
      <c r="F374" s="2"/>
      <c r="G374" s="3"/>
      <c r="H374" s="3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s="4" customFormat="1" x14ac:dyDescent="0.2">
      <c r="A375"/>
      <c r="B375" s="12"/>
      <c r="C375" s="2"/>
      <c r="F375" s="2"/>
      <c r="G375" s="3"/>
      <c r="H375" s="3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s="4" customFormat="1" x14ac:dyDescent="0.2">
      <c r="A376"/>
      <c r="B376" s="12"/>
      <c r="C376" s="2"/>
      <c r="F376" s="2"/>
      <c r="G376" s="3"/>
      <c r="H376" s="3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s="4" customFormat="1" x14ac:dyDescent="0.2">
      <c r="A377"/>
      <c r="B377" s="12"/>
      <c r="C377" s="2"/>
      <c r="F377" s="2"/>
      <c r="G377" s="3"/>
      <c r="H377" s="3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s="4" customFormat="1" x14ac:dyDescent="0.2">
      <c r="A378"/>
      <c r="B378" s="12"/>
      <c r="C378" s="2"/>
      <c r="F378" s="2"/>
      <c r="G378" s="3"/>
      <c r="H378" s="3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s="4" customFormat="1" x14ac:dyDescent="0.2">
      <c r="A379"/>
      <c r="B379" s="12"/>
      <c r="C379" s="2"/>
      <c r="F379" s="2"/>
      <c r="G379" s="3"/>
      <c r="H379" s="3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s="4" customFormat="1" x14ac:dyDescent="0.2">
      <c r="A380"/>
      <c r="B380" s="12"/>
      <c r="C380" s="2"/>
      <c r="F380" s="2"/>
      <c r="G380" s="3"/>
      <c r="H380" s="3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s="4" customFormat="1" x14ac:dyDescent="0.2">
      <c r="A381"/>
      <c r="B381" s="12"/>
      <c r="C381" s="2"/>
      <c r="F381" s="2"/>
      <c r="G381" s="3"/>
      <c r="H381" s="3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s="4" customFormat="1" x14ac:dyDescent="0.2">
      <c r="A382"/>
      <c r="B382" s="12"/>
      <c r="C382" s="2"/>
      <c r="F382" s="2"/>
      <c r="G382" s="3"/>
      <c r="H382" s="3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s="4" customFormat="1" x14ac:dyDescent="0.2">
      <c r="A383"/>
      <c r="B383" s="12"/>
      <c r="C383" s="2"/>
      <c r="F383" s="2"/>
      <c r="G383" s="3"/>
      <c r="H383" s="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s="4" customFormat="1" x14ac:dyDescent="0.2">
      <c r="A384"/>
      <c r="B384" s="12"/>
      <c r="C384" s="2"/>
      <c r="F384" s="2"/>
      <c r="G384" s="3"/>
      <c r="H384" s="3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s="4" customFormat="1" x14ac:dyDescent="0.2">
      <c r="A385"/>
      <c r="B385" s="12"/>
      <c r="C385" s="2"/>
      <c r="F385" s="2"/>
      <c r="G385" s="3"/>
      <c r="H385" s="3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s="4" customFormat="1" x14ac:dyDescent="0.2">
      <c r="A386"/>
      <c r="B386" s="12"/>
      <c r="C386" s="2"/>
      <c r="F386" s="2"/>
      <c r="G386" s="3"/>
      <c r="H386" s="3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s="4" customFormat="1" x14ac:dyDescent="0.2">
      <c r="A387"/>
      <c r="B387" s="12"/>
      <c r="C387" s="2"/>
      <c r="F387" s="2"/>
      <c r="G387" s="3"/>
      <c r="H387" s="3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s="4" customFormat="1" x14ac:dyDescent="0.2">
      <c r="A388"/>
      <c r="B388" s="12"/>
      <c r="C388" s="2"/>
      <c r="F388" s="2"/>
      <c r="G388" s="3"/>
      <c r="H388" s="3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s="4" customFormat="1" x14ac:dyDescent="0.2">
      <c r="A389"/>
      <c r="B389" s="12"/>
      <c r="C389" s="2"/>
      <c r="F389" s="2"/>
      <c r="G389" s="3"/>
      <c r="H389" s="3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s="4" customFormat="1" x14ac:dyDescent="0.2">
      <c r="A390"/>
      <c r="B390" s="12"/>
      <c r="C390" s="2"/>
      <c r="F390" s="2"/>
      <c r="G390" s="3"/>
      <c r="H390" s="3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s="4" customFormat="1" x14ac:dyDescent="0.2">
      <c r="A391"/>
      <c r="B391" s="12"/>
      <c r="C391" s="2"/>
      <c r="F391" s="2"/>
      <c r="G391" s="3"/>
      <c r="H391" s="3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s="4" customFormat="1" x14ac:dyDescent="0.2">
      <c r="A392"/>
      <c r="B392" s="12"/>
      <c r="C392" s="2"/>
      <c r="F392" s="2"/>
      <c r="G392" s="3"/>
      <c r="H392" s="3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s="4" customFormat="1" x14ac:dyDescent="0.2">
      <c r="A393"/>
      <c r="B393" s="12"/>
      <c r="C393" s="2"/>
      <c r="F393" s="2"/>
      <c r="G393" s="3"/>
      <c r="H393" s="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s="4" customFormat="1" x14ac:dyDescent="0.2">
      <c r="A394"/>
      <c r="B394" s="12"/>
      <c r="C394" s="2"/>
      <c r="F394" s="2"/>
      <c r="G394" s="3"/>
      <c r="H394" s="3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s="4" customFormat="1" x14ac:dyDescent="0.2">
      <c r="A395"/>
      <c r="B395" s="12"/>
      <c r="C395" s="2"/>
      <c r="F395" s="2"/>
      <c r="G395" s="3"/>
      <c r="H395" s="3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s="4" customFormat="1" x14ac:dyDescent="0.2">
      <c r="A396"/>
      <c r="B396" s="12"/>
      <c r="C396" s="2"/>
      <c r="F396" s="2"/>
      <c r="G396" s="3"/>
      <c r="H396" s="3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s="4" customFormat="1" x14ac:dyDescent="0.2">
      <c r="A397"/>
      <c r="B397" s="12"/>
      <c r="C397" s="2"/>
      <c r="F397" s="2"/>
      <c r="G397" s="3"/>
      <c r="H397" s="3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s="4" customFormat="1" x14ac:dyDescent="0.2">
      <c r="A398"/>
      <c r="B398" s="12"/>
      <c r="C398" s="2"/>
      <c r="F398" s="2"/>
      <c r="G398" s="3"/>
      <c r="H398" s="3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s="4" customFormat="1" x14ac:dyDescent="0.2">
      <c r="A399"/>
      <c r="B399" s="12"/>
      <c r="C399" s="2"/>
      <c r="F399" s="2"/>
      <c r="G399" s="3"/>
      <c r="H399" s="3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s="4" customFormat="1" x14ac:dyDescent="0.2">
      <c r="A400"/>
      <c r="B400" s="12"/>
      <c r="C400" s="2"/>
      <c r="F400" s="2"/>
      <c r="G400" s="3"/>
      <c r="H400" s="3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s="4" customFormat="1" x14ac:dyDescent="0.2">
      <c r="A401"/>
      <c r="B401" s="12"/>
      <c r="C401" s="2"/>
      <c r="F401" s="2"/>
      <c r="G401" s="3"/>
      <c r="H401" s="3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s="4" customFormat="1" x14ac:dyDescent="0.2">
      <c r="A402"/>
      <c r="B402" s="12"/>
      <c r="C402" s="2"/>
      <c r="F402" s="2"/>
      <c r="G402" s="3"/>
      <c r="H402" s="3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s="4" customFormat="1" x14ac:dyDescent="0.2">
      <c r="A403"/>
      <c r="B403" s="12"/>
      <c r="C403" s="2"/>
      <c r="F403" s="2"/>
      <c r="G403" s="3"/>
      <c r="H403" s="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s="4" customFormat="1" x14ac:dyDescent="0.2">
      <c r="A404"/>
      <c r="B404" s="12"/>
      <c r="C404" s="2"/>
      <c r="F404" s="2"/>
      <c r="G404" s="3"/>
      <c r="H404" s="3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s="4" customFormat="1" x14ac:dyDescent="0.2">
      <c r="A405"/>
      <c r="B405" s="12"/>
      <c r="C405" s="2"/>
      <c r="F405" s="2"/>
      <c r="G405" s="3"/>
      <c r="H405" s="3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s="4" customFormat="1" x14ac:dyDescent="0.2">
      <c r="A406"/>
      <c r="B406" s="12"/>
      <c r="C406" s="2"/>
      <c r="F406" s="2"/>
      <c r="G406" s="3"/>
      <c r="H406" s="3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s="4" customFormat="1" x14ac:dyDescent="0.2">
      <c r="A407"/>
      <c r="B407" s="12"/>
      <c r="C407" s="2"/>
      <c r="F407" s="2"/>
      <c r="G407" s="3"/>
      <c r="H407" s="3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s="4" customFormat="1" x14ac:dyDescent="0.2">
      <c r="A408"/>
      <c r="B408" s="12"/>
      <c r="C408" s="2"/>
      <c r="F408" s="2"/>
      <c r="G408" s="3"/>
      <c r="H408" s="3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s="4" customFormat="1" x14ac:dyDescent="0.2">
      <c r="A409"/>
      <c r="B409" s="12"/>
      <c r="C409" s="2"/>
      <c r="F409" s="2"/>
      <c r="G409" s="3"/>
      <c r="H409" s="3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s="4" customFormat="1" x14ac:dyDescent="0.2">
      <c r="A410"/>
      <c r="B410" s="12"/>
      <c r="C410" s="2"/>
      <c r="F410" s="2"/>
      <c r="G410" s="3"/>
      <c r="H410" s="3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s="4" customFormat="1" x14ac:dyDescent="0.2">
      <c r="A411"/>
      <c r="B411" s="12"/>
      <c r="C411" s="2"/>
      <c r="F411" s="2"/>
      <c r="G411" s="3"/>
      <c r="H411" s="3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s="4" customFormat="1" x14ac:dyDescent="0.2">
      <c r="A412"/>
      <c r="B412" s="12"/>
      <c r="C412" s="2"/>
      <c r="F412" s="2"/>
      <c r="G412" s="3"/>
      <c r="H412" s="3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s="4" customFormat="1" x14ac:dyDescent="0.2">
      <c r="A413"/>
      <c r="B413" s="12"/>
      <c r="C413" s="2"/>
      <c r="F413" s="2"/>
      <c r="G413" s="3"/>
      <c r="H413" s="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s="4" customFormat="1" x14ac:dyDescent="0.2">
      <c r="A414"/>
      <c r="B414" s="12"/>
      <c r="C414" s="2"/>
      <c r="F414" s="2"/>
      <c r="G414" s="3"/>
      <c r="H414" s="3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s="4" customFormat="1" x14ac:dyDescent="0.2">
      <c r="A415"/>
      <c r="B415" s="12"/>
      <c r="C415" s="2"/>
      <c r="F415" s="2"/>
      <c r="G415" s="3"/>
      <c r="H415" s="3"/>
      <c r="I415"/>
      <c r="J415"/>
      <c r="K415"/>
      <c r="L415"/>
      <c r="M415"/>
      <c r="N415"/>
      <c r="O415"/>
      <c r="P415"/>
      <c r="Q415"/>
      <c r="R415"/>
      <c r="S415"/>
      <c r="T415"/>
    </row>
  </sheetData>
  <sortState ref="B2:H359">
    <sortCondition ref="G2:G359"/>
  </sortState>
  <printOptions horizontalCentered="1"/>
  <pageMargins left="0.25" right="0.25" top="0.85" bottom="0.25" header="0.26" footer="0.31"/>
  <pageSetup scale="67" fitToHeight="0" orientation="portrait" r:id="rId1"/>
  <headerFooter alignWithMargins="0">
    <oddHeader>&amp;C&amp;"Arial,Bold"&amp;11 1153 FY2014
SUMMARY REPORT
BY REPORT NUMBER
As of June 30, 2014&amp;RRun Date: &amp;D      &amp;T     
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4"/>
  <sheetViews>
    <sheetView workbookViewId="0">
      <selection activeCell="B14" sqref="B14"/>
    </sheetView>
  </sheetViews>
  <sheetFormatPr defaultRowHeight="12.75" x14ac:dyDescent="0.2"/>
  <cols>
    <col min="1" max="1" width="9.7109375" style="72" customWidth="1"/>
    <col min="2" max="2" width="53.7109375" style="72" customWidth="1"/>
    <col min="3" max="3" width="15.7109375" style="72" customWidth="1"/>
    <col min="4" max="4" width="27.7109375" style="72" customWidth="1"/>
    <col min="5" max="16384" width="9.140625" style="72"/>
  </cols>
  <sheetData>
    <row r="3" spans="1:4" ht="18" x14ac:dyDescent="0.25">
      <c r="A3" s="68"/>
      <c r="B3" s="69" t="s">
        <v>8</v>
      </c>
      <c r="C3" s="70"/>
      <c r="D3" s="71" t="s">
        <v>9</v>
      </c>
    </row>
    <row r="6" spans="1:4" ht="20.25" x14ac:dyDescent="0.3">
      <c r="B6" s="73" t="s">
        <v>1091</v>
      </c>
      <c r="C6" s="74">
        <v>356</v>
      </c>
      <c r="D6" s="75">
        <v>18803193</v>
      </c>
    </row>
    <row r="7" spans="1:4" ht="20.25" x14ac:dyDescent="0.3">
      <c r="B7" s="76"/>
      <c r="C7" s="74"/>
      <c r="D7" s="75"/>
    </row>
    <row r="8" spans="1:4" ht="20.25" x14ac:dyDescent="0.3">
      <c r="B8" s="77" t="s">
        <v>1092</v>
      </c>
      <c r="C8" s="74">
        <v>148</v>
      </c>
      <c r="D8" s="75">
        <v>1917083</v>
      </c>
    </row>
    <row r="9" spans="1:4" ht="20.25" x14ac:dyDescent="0.3">
      <c r="B9" s="77" t="s">
        <v>1093</v>
      </c>
      <c r="C9" s="74">
        <v>98</v>
      </c>
      <c r="D9" s="75">
        <v>3582938</v>
      </c>
    </row>
    <row r="10" spans="1:4" ht="20.25" x14ac:dyDescent="0.3">
      <c r="B10" s="77" t="s">
        <v>1094</v>
      </c>
      <c r="C10" s="74">
        <v>110</v>
      </c>
      <c r="D10" s="75">
        <v>13303172</v>
      </c>
    </row>
    <row r="11" spans="1:4" ht="20.25" x14ac:dyDescent="0.3">
      <c r="B11" s="77" t="s">
        <v>1095</v>
      </c>
      <c r="C11" s="74">
        <v>0</v>
      </c>
      <c r="D11" s="75">
        <v>0</v>
      </c>
    </row>
    <row r="12" spans="1:4" ht="20.25" x14ac:dyDescent="0.3">
      <c r="B12" s="77" t="s">
        <v>1096</v>
      </c>
      <c r="C12" s="74">
        <v>0</v>
      </c>
      <c r="D12" s="75">
        <v>0</v>
      </c>
    </row>
    <row r="13" spans="1:4" ht="20.25" x14ac:dyDescent="0.3">
      <c r="B13" s="77"/>
      <c r="C13" s="74"/>
      <c r="D13" s="75"/>
    </row>
    <row r="14" spans="1:4" ht="20.25" x14ac:dyDescent="0.3">
      <c r="B14" s="78" t="s">
        <v>1097</v>
      </c>
      <c r="C14" s="74">
        <f>SUM(C8:C13)</f>
        <v>356</v>
      </c>
      <c r="D14" s="75">
        <f>SUM(D8:D13)</f>
        <v>18803193</v>
      </c>
    </row>
  </sheetData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Sorted by Report No.</vt:lpstr>
      <vt:lpstr>Sorted by Department</vt:lpstr>
      <vt:lpstr>Sorted by Vendor</vt:lpstr>
      <vt:lpstr>Analysis</vt:lpstr>
      <vt:lpstr>Summary</vt:lpstr>
      <vt:lpstr>Analysis!Print_Area</vt:lpstr>
      <vt:lpstr>'Sorted by Department'!Print_Area</vt:lpstr>
      <vt:lpstr>'Sorted by Report No.'!Print_Area</vt:lpstr>
      <vt:lpstr>'Sorted by Vendor'!Print_Area</vt:lpstr>
      <vt:lpstr>Analysis!Print_Titles</vt:lpstr>
      <vt:lpstr>'Sorted by Department'!Print_Titles</vt:lpstr>
      <vt:lpstr>'Sorted by Report No.'!Print_Titles</vt:lpstr>
      <vt:lpstr>'Sorted by Vendor'!Print_Titles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Kincannon</dc:creator>
  <cp:lastModifiedBy>Default</cp:lastModifiedBy>
  <cp:lastPrinted>2014-08-11T18:38:28Z</cp:lastPrinted>
  <dcterms:created xsi:type="dcterms:W3CDTF">1998-02-11T21:28:34Z</dcterms:created>
  <dcterms:modified xsi:type="dcterms:W3CDTF">2014-08-11T18:40:12Z</dcterms:modified>
</cp:coreProperties>
</file>