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curement Mgt\Financial Reports\Contract Awards\"/>
    </mc:Choice>
  </mc:AlternateContent>
  <bookViews>
    <workbookView xWindow="0" yWindow="0" windowWidth="19200" windowHeight="11070" firstSheet="1" activeTab="3"/>
  </bookViews>
  <sheets>
    <sheet name="Sorted by Report No" sheetId="29" r:id="rId1"/>
    <sheet name="Sorted by Department" sheetId="32" r:id="rId2"/>
    <sheet name="Sorted by Vendor" sheetId="33" r:id="rId3"/>
    <sheet name="Analysis" sheetId="34" r:id="rId4"/>
    <sheet name="Summary" sheetId="35" r:id="rId5"/>
  </sheets>
  <definedNames>
    <definedName name="_xlnm.Print_Area" localSheetId="3">Analysis!$B$1:$H$414</definedName>
    <definedName name="_xlnm.Print_Area" localSheetId="1">'Sorted by Department'!$A$1:$T$403</definedName>
    <definedName name="_xlnm.Print_Area" localSheetId="0">'Sorted by Report No'!$A$1:$T$403</definedName>
    <definedName name="_xlnm.Print_Area" localSheetId="2">'Sorted by Vendor'!$A$1:$T$403</definedName>
    <definedName name="_xlnm.Print_Titles" localSheetId="3">Analysis!$1:$1</definedName>
    <definedName name="_xlnm.Print_Titles" localSheetId="1">'Sorted by Department'!$1:$1</definedName>
    <definedName name="_xlnm.Print_Titles" localSheetId="0">'Sorted by Report No'!$1:$1</definedName>
    <definedName name="_xlnm.Print_Titles" localSheetId="2">'Sorted by Vendor'!$1:$1</definedName>
  </definedNames>
  <calcPr calcId="171027" fullCalcOnLoad="1"/>
</workbook>
</file>

<file path=xl/calcChain.xml><?xml version="1.0" encoding="utf-8"?>
<calcChain xmlns="http://schemas.openxmlformats.org/spreadsheetml/2006/main">
  <c r="H409" i="34" l="1"/>
  <c r="G409" i="34"/>
  <c r="G408" i="34"/>
  <c r="G407" i="34"/>
  <c r="G405" i="34"/>
  <c r="D14" i="35"/>
  <c r="C14" i="35"/>
  <c r="G413" i="34" l="1"/>
  <c r="H356" i="34" l="1"/>
  <c r="G356" i="34"/>
  <c r="H331" i="34"/>
  <c r="G331" i="34"/>
  <c r="H133" i="34"/>
  <c r="G133" i="34"/>
  <c r="H194" i="34"/>
  <c r="G194" i="34"/>
  <c r="H93" i="34"/>
  <c r="G93" i="34"/>
  <c r="H280" i="34"/>
  <c r="G280" i="34"/>
  <c r="H226" i="34"/>
  <c r="G226" i="34"/>
  <c r="H285" i="34"/>
  <c r="G285" i="34"/>
  <c r="H96" i="34"/>
  <c r="G96" i="34"/>
  <c r="H114" i="34"/>
  <c r="G114" i="34"/>
  <c r="H302" i="34"/>
  <c r="G302" i="34"/>
  <c r="H339" i="34"/>
  <c r="G339" i="34"/>
  <c r="H398" i="34"/>
  <c r="G398" i="34"/>
  <c r="H328" i="34"/>
  <c r="G328" i="34"/>
  <c r="H192" i="34"/>
  <c r="G192" i="34"/>
  <c r="H127" i="34"/>
  <c r="G127" i="34"/>
  <c r="H162" i="34"/>
  <c r="G162" i="34"/>
  <c r="H330" i="34"/>
  <c r="G330" i="34"/>
  <c r="G113" i="34"/>
  <c r="G243" i="34"/>
  <c r="H389" i="34"/>
  <c r="G389" i="34"/>
  <c r="H358" i="34"/>
  <c r="G358" i="34"/>
  <c r="H397" i="34"/>
  <c r="G397" i="34"/>
  <c r="H359" i="34"/>
  <c r="G359" i="34"/>
  <c r="H159" i="34"/>
  <c r="G159" i="34"/>
  <c r="H293" i="34"/>
  <c r="G293" i="34"/>
  <c r="H260" i="34"/>
  <c r="G260" i="34"/>
  <c r="H305" i="34"/>
  <c r="G305" i="34"/>
  <c r="H273" i="34"/>
  <c r="G273" i="34"/>
  <c r="H144" i="34"/>
  <c r="G144" i="34"/>
  <c r="H184" i="34"/>
  <c r="G184" i="34"/>
  <c r="H167" i="34"/>
  <c r="G167" i="34"/>
  <c r="H128" i="34"/>
  <c r="G128" i="34"/>
  <c r="H353" i="34"/>
  <c r="G353" i="34"/>
  <c r="H112" i="34"/>
  <c r="G112" i="34"/>
  <c r="H313" i="34"/>
  <c r="G313" i="34"/>
  <c r="G52" i="34"/>
  <c r="H335" i="34"/>
  <c r="G335" i="34"/>
  <c r="H364" i="34"/>
  <c r="G364" i="34"/>
  <c r="G388" i="34"/>
  <c r="H388" i="34" s="1"/>
  <c r="G387" i="34"/>
  <c r="H387" i="34" s="1"/>
  <c r="H386" i="34"/>
  <c r="G386" i="34"/>
  <c r="G181" i="34"/>
  <c r="H332" i="34"/>
  <c r="G332" i="34"/>
  <c r="H361" i="34"/>
  <c r="G361" i="34"/>
  <c r="H352" i="34"/>
  <c r="G352" i="34"/>
  <c r="H396" i="34"/>
  <c r="G396" i="34"/>
  <c r="G102" i="34"/>
  <c r="G212" i="34"/>
  <c r="H256" i="34"/>
  <c r="G256" i="34"/>
  <c r="H312" i="34"/>
  <c r="G312" i="34"/>
  <c r="G101" i="34"/>
  <c r="G197" i="34"/>
  <c r="H400" i="34"/>
  <c r="G400" i="34"/>
  <c r="H363" i="34"/>
  <c r="G363" i="34"/>
  <c r="G91" i="34"/>
  <c r="H279" i="34"/>
  <c r="G279" i="34"/>
  <c r="H275" i="34"/>
  <c r="G275" i="34"/>
  <c r="H362" i="34"/>
  <c r="G362" i="34"/>
  <c r="H138" i="34"/>
  <c r="G138" i="34"/>
  <c r="G259" i="34"/>
  <c r="H338" i="34"/>
  <c r="G338" i="34"/>
  <c r="H346" i="34"/>
  <c r="G346" i="34"/>
  <c r="H372" i="34"/>
  <c r="G372" i="34"/>
  <c r="G67" i="34"/>
  <c r="H208" i="34"/>
  <c r="G208" i="34"/>
  <c r="H344" i="34"/>
  <c r="G344" i="34"/>
  <c r="H371" i="34"/>
  <c r="G371" i="34"/>
  <c r="H347" i="34"/>
  <c r="G347" i="34"/>
  <c r="H304" i="34"/>
  <c r="G304" i="34"/>
  <c r="H178" i="34"/>
  <c r="G178" i="34"/>
  <c r="H177" i="34"/>
  <c r="G177" i="34"/>
  <c r="H266" i="34"/>
  <c r="H385" i="34"/>
  <c r="G385" i="34"/>
  <c r="H241" i="34"/>
  <c r="H170" i="34"/>
  <c r="G170" i="34"/>
  <c r="H161" i="34"/>
  <c r="G161" i="34"/>
  <c r="H337" i="34"/>
  <c r="G337" i="34"/>
  <c r="H395" i="34"/>
  <c r="G395" i="34"/>
  <c r="H249" i="34"/>
  <c r="G249" i="34"/>
  <c r="H351" i="34"/>
  <c r="G351" i="34"/>
  <c r="H394" i="34"/>
  <c r="G394" i="34"/>
  <c r="H349" i="34"/>
  <c r="G349" i="34"/>
  <c r="H340" i="34"/>
  <c r="G340" i="34"/>
  <c r="H223" i="34"/>
  <c r="G223" i="34"/>
  <c r="H222" i="34"/>
  <c r="G222" i="34"/>
  <c r="H292" i="34"/>
  <c r="G292" i="34"/>
  <c r="H296" i="34"/>
  <c r="G296" i="34"/>
  <c r="H277" i="34"/>
  <c r="G277" i="34"/>
  <c r="H221" i="34"/>
  <c r="G221" i="34"/>
  <c r="H264" i="34"/>
  <c r="G264" i="34"/>
  <c r="H143" i="34"/>
  <c r="G143" i="34"/>
  <c r="H379" i="34"/>
  <c r="G379" i="34"/>
  <c r="H378" i="34"/>
  <c r="G378" i="34"/>
  <c r="H393" i="34"/>
  <c r="G393" i="34"/>
  <c r="H355" i="34"/>
  <c r="G355" i="34"/>
  <c r="H390" i="34"/>
  <c r="G390" i="34"/>
  <c r="H267" i="34"/>
  <c r="G267" i="34"/>
  <c r="H295" i="34"/>
  <c r="G295" i="34"/>
  <c r="H384" i="34"/>
  <c r="G384" i="34"/>
  <c r="H345" i="34"/>
  <c r="G345" i="34"/>
  <c r="H365" i="34"/>
  <c r="G365" i="34"/>
  <c r="H276" i="34"/>
  <c r="G276" i="34"/>
  <c r="H158" i="34"/>
  <c r="G158" i="34"/>
  <c r="H366" i="34"/>
  <c r="G366" i="34"/>
  <c r="H377" i="34"/>
  <c r="G377" i="34"/>
  <c r="H376" i="34"/>
  <c r="G376" i="34"/>
  <c r="H383" i="34"/>
  <c r="G383" i="34"/>
  <c r="H334" i="34"/>
  <c r="G334" i="34"/>
  <c r="H382" i="34"/>
  <c r="G382" i="34"/>
  <c r="H381" i="34"/>
  <c r="G381" i="34"/>
  <c r="H375" i="34"/>
  <c r="G375" i="34"/>
  <c r="H186" i="34"/>
  <c r="G186" i="34"/>
  <c r="G209" i="34"/>
  <c r="H218" i="34"/>
  <c r="G218" i="34"/>
  <c r="G75" i="34"/>
  <c r="G327" i="34"/>
  <c r="H360" i="34"/>
  <c r="G360" i="34"/>
  <c r="H370" i="34"/>
  <c r="G370" i="34"/>
  <c r="G187" i="34"/>
  <c r="H252" i="34"/>
  <c r="G252" i="34"/>
  <c r="H336" i="34"/>
  <c r="G336" i="34"/>
  <c r="H185" i="34"/>
  <c r="G185" i="34"/>
  <c r="H195" i="34"/>
  <c r="G195" i="34"/>
  <c r="H341" i="34"/>
  <c r="G341" i="34"/>
  <c r="H105" i="34"/>
  <c r="G105" i="34"/>
  <c r="H214" i="34"/>
  <c r="G214" i="34"/>
  <c r="H354" i="34"/>
  <c r="G354" i="34"/>
  <c r="H350" i="34"/>
  <c r="G350" i="34"/>
  <c r="H373" i="34"/>
  <c r="G373" i="34"/>
  <c r="H374" i="34"/>
  <c r="G374" i="34"/>
  <c r="H391" i="34"/>
  <c r="G391" i="34"/>
  <c r="H357" i="34"/>
  <c r="G357" i="34"/>
  <c r="H369" i="34"/>
  <c r="G369" i="34"/>
  <c r="H368" i="34"/>
  <c r="G368" i="34"/>
  <c r="H392" i="34"/>
  <c r="G392" i="34"/>
  <c r="H367" i="34"/>
  <c r="G367" i="34"/>
  <c r="H343" i="34"/>
  <c r="G343" i="34"/>
  <c r="H342" i="34"/>
  <c r="G342" i="34"/>
  <c r="H216" i="34"/>
  <c r="G216" i="34"/>
  <c r="H329" i="34"/>
  <c r="G329" i="34"/>
  <c r="H250" i="34"/>
  <c r="G250" i="34"/>
  <c r="H323" i="34"/>
  <c r="G323" i="34"/>
  <c r="H263" i="34"/>
  <c r="G263" i="34"/>
  <c r="H173" i="34"/>
  <c r="G173" i="34"/>
  <c r="G130" i="34"/>
  <c r="H251" i="34"/>
  <c r="G251" i="34"/>
  <c r="H333" i="34"/>
  <c r="G333" i="34"/>
  <c r="G100" i="34"/>
  <c r="H94" i="34"/>
  <c r="G94" i="34"/>
  <c r="H380" i="34"/>
  <c r="G380" i="34"/>
  <c r="H348" i="34"/>
  <c r="G348" i="34"/>
  <c r="H399" i="34"/>
  <c r="G399" i="34"/>
  <c r="T403" i="33"/>
  <c r="S403" i="33"/>
  <c r="R403" i="33"/>
  <c r="G400" i="33"/>
  <c r="F400" i="33"/>
  <c r="J399" i="33"/>
  <c r="I399" i="33"/>
  <c r="I398" i="33"/>
  <c r="J398" i="33"/>
  <c r="I397" i="33"/>
  <c r="J397" i="33"/>
  <c r="I396" i="33"/>
  <c r="J396" i="33"/>
  <c r="G395" i="33"/>
  <c r="F395" i="33"/>
  <c r="G394" i="33"/>
  <c r="F394" i="33"/>
  <c r="G393" i="33"/>
  <c r="F393" i="33"/>
  <c r="G392" i="33"/>
  <c r="F392" i="33"/>
  <c r="G391" i="33"/>
  <c r="F391" i="33"/>
  <c r="I390" i="33"/>
  <c r="J390" i="33"/>
  <c r="G389" i="33"/>
  <c r="I389" i="33"/>
  <c r="J389" i="33"/>
  <c r="F389" i="33"/>
  <c r="G388" i="33"/>
  <c r="I388" i="33"/>
  <c r="J388" i="33"/>
  <c r="F388" i="33"/>
  <c r="G387" i="33"/>
  <c r="I387" i="33"/>
  <c r="J387" i="33"/>
  <c r="F387" i="33"/>
  <c r="I386" i="33"/>
  <c r="J386" i="33"/>
  <c r="J385" i="33"/>
  <c r="I385" i="33"/>
  <c r="G384" i="33"/>
  <c r="I384" i="33"/>
  <c r="J384" i="33"/>
  <c r="F384" i="33"/>
  <c r="G383" i="33"/>
  <c r="I383" i="33"/>
  <c r="J383" i="33"/>
  <c r="F383" i="33"/>
  <c r="J382" i="33"/>
  <c r="I382" i="33"/>
  <c r="I381" i="33"/>
  <c r="J381" i="33"/>
  <c r="I380" i="33"/>
  <c r="J380" i="33"/>
  <c r="I379" i="33"/>
  <c r="J379" i="33"/>
  <c r="J378" i="33"/>
  <c r="G378" i="33"/>
  <c r="I378" i="33"/>
  <c r="F378" i="33"/>
  <c r="I377" i="33"/>
  <c r="J377" i="33"/>
  <c r="J376" i="33"/>
  <c r="I376" i="33"/>
  <c r="G375" i="33"/>
  <c r="I375" i="33"/>
  <c r="J375" i="33"/>
  <c r="F375" i="33"/>
  <c r="J374" i="33"/>
  <c r="I374" i="33"/>
  <c r="H373" i="33"/>
  <c r="I373" i="33"/>
  <c r="J373" i="33"/>
  <c r="I372" i="33"/>
  <c r="J372" i="33"/>
  <c r="I371" i="33"/>
  <c r="G371" i="33"/>
  <c r="F371" i="33"/>
  <c r="I370" i="33"/>
  <c r="G370" i="33"/>
  <c r="F370" i="33"/>
  <c r="I369" i="33"/>
  <c r="G369" i="33"/>
  <c r="F369" i="33"/>
  <c r="I368" i="33"/>
  <c r="J368" i="33"/>
  <c r="I367" i="33"/>
  <c r="J367" i="33"/>
  <c r="I366" i="33"/>
  <c r="G366" i="33"/>
  <c r="F366" i="33"/>
  <c r="I365" i="33"/>
  <c r="G365" i="33"/>
  <c r="F365" i="33"/>
  <c r="H364" i="33"/>
  <c r="I364" i="33"/>
  <c r="J364" i="33"/>
  <c r="F364" i="33"/>
  <c r="I363" i="33"/>
  <c r="J363" i="33"/>
  <c r="H362" i="33"/>
  <c r="I362" i="33"/>
  <c r="J362" i="33"/>
  <c r="F362" i="33"/>
  <c r="I361" i="33"/>
  <c r="J361" i="33"/>
  <c r="G361" i="33"/>
  <c r="F361" i="33"/>
  <c r="I360" i="33"/>
  <c r="J360" i="33"/>
  <c r="I359" i="33"/>
  <c r="G359" i="33"/>
  <c r="F359" i="33"/>
  <c r="I358" i="33"/>
  <c r="J358" i="33"/>
  <c r="I357" i="33"/>
  <c r="J357" i="33"/>
  <c r="G356" i="33"/>
  <c r="F356" i="33"/>
  <c r="I355" i="33"/>
  <c r="G355" i="33"/>
  <c r="F355" i="33"/>
  <c r="I354" i="33"/>
  <c r="J354" i="33"/>
  <c r="I353" i="33"/>
  <c r="J353" i="33"/>
  <c r="G352" i="33"/>
  <c r="F352" i="33"/>
  <c r="I351" i="33"/>
  <c r="G351" i="33"/>
  <c r="F351" i="33"/>
  <c r="I350" i="33"/>
  <c r="J350" i="33"/>
  <c r="I349" i="33"/>
  <c r="J349" i="33"/>
  <c r="G348" i="33"/>
  <c r="F348" i="33"/>
  <c r="I347" i="33"/>
  <c r="G347" i="33"/>
  <c r="F347" i="33"/>
  <c r="I346" i="33"/>
  <c r="G346" i="33"/>
  <c r="F346" i="33"/>
  <c r="I345" i="33"/>
  <c r="J345" i="33"/>
  <c r="I344" i="33"/>
  <c r="G344" i="33"/>
  <c r="F344" i="33"/>
  <c r="I343" i="33"/>
  <c r="G343" i="33"/>
  <c r="F343" i="33"/>
  <c r="G342" i="33"/>
  <c r="F342" i="33"/>
  <c r="I341" i="33"/>
  <c r="G341" i="33"/>
  <c r="F341" i="33"/>
  <c r="I340" i="33"/>
  <c r="J340" i="33"/>
  <c r="I339" i="33"/>
  <c r="J339" i="33"/>
  <c r="G338" i="33"/>
  <c r="F338" i="33"/>
  <c r="I337" i="33"/>
  <c r="J337" i="33"/>
  <c r="I336" i="33"/>
  <c r="J336" i="33"/>
  <c r="I335" i="33"/>
  <c r="J335" i="33"/>
  <c r="G335" i="33"/>
  <c r="F335" i="33"/>
  <c r="I334" i="33"/>
  <c r="J334" i="33"/>
  <c r="I333" i="33"/>
  <c r="J333" i="33"/>
  <c r="I332" i="33"/>
  <c r="J332" i="33"/>
  <c r="I331" i="33"/>
  <c r="G331" i="33"/>
  <c r="F331" i="33"/>
  <c r="I330" i="33"/>
  <c r="J330" i="33"/>
  <c r="H330" i="33"/>
  <c r="F330" i="33"/>
  <c r="I329" i="33"/>
  <c r="J329" i="33"/>
  <c r="I328" i="33"/>
  <c r="J328" i="33"/>
  <c r="I327" i="33"/>
  <c r="J327" i="33"/>
  <c r="G326" i="33"/>
  <c r="I326" i="33"/>
  <c r="J326" i="33"/>
  <c r="F326" i="33"/>
  <c r="I325" i="33"/>
  <c r="J325" i="33"/>
  <c r="G324" i="33"/>
  <c r="F324" i="33"/>
  <c r="I323" i="33"/>
  <c r="F323" i="33"/>
  <c r="G323" i="33"/>
  <c r="I322" i="33"/>
  <c r="J322" i="33"/>
  <c r="F321" i="33"/>
  <c r="G321" i="33"/>
  <c r="F320" i="33"/>
  <c r="G320" i="33"/>
  <c r="H319" i="33"/>
  <c r="I319" i="33"/>
  <c r="J319" i="33"/>
  <c r="F319" i="33"/>
  <c r="I318" i="33"/>
  <c r="J318" i="33"/>
  <c r="G317" i="33"/>
  <c r="F317" i="33"/>
  <c r="I316" i="33"/>
  <c r="G316" i="33"/>
  <c r="F316" i="33"/>
  <c r="I315" i="33"/>
  <c r="J315" i="33"/>
  <c r="I314" i="33"/>
  <c r="J314" i="33"/>
  <c r="G313" i="33"/>
  <c r="F313" i="33"/>
  <c r="I312" i="33"/>
  <c r="G312" i="33"/>
  <c r="F312" i="33"/>
  <c r="I311" i="33"/>
  <c r="J311" i="33"/>
  <c r="I310" i="33"/>
  <c r="J310" i="33"/>
  <c r="H310" i="33"/>
  <c r="F310" i="33"/>
  <c r="I309" i="33"/>
  <c r="J309" i="33"/>
  <c r="I308" i="33"/>
  <c r="J308" i="33"/>
  <c r="I307" i="33"/>
  <c r="J307" i="33"/>
  <c r="I306" i="33"/>
  <c r="J306" i="33"/>
  <c r="I305" i="33"/>
  <c r="J305" i="33"/>
  <c r="I304" i="33"/>
  <c r="J304" i="33"/>
  <c r="H304" i="33"/>
  <c r="F304" i="33"/>
  <c r="I303" i="33"/>
  <c r="J303" i="33"/>
  <c r="I302" i="33"/>
  <c r="J302" i="33"/>
  <c r="H302" i="33"/>
  <c r="G301" i="33"/>
  <c r="I301" i="33"/>
  <c r="J301" i="33"/>
  <c r="F301" i="33"/>
  <c r="I300" i="33"/>
  <c r="J300" i="33"/>
  <c r="G299" i="33"/>
  <c r="F299" i="33"/>
  <c r="H298" i="33"/>
  <c r="I298" i="33"/>
  <c r="J298" i="33"/>
  <c r="F298" i="33"/>
  <c r="H297" i="33"/>
  <c r="I297" i="33"/>
  <c r="J297" i="33"/>
  <c r="F297" i="33"/>
  <c r="G296" i="33"/>
  <c r="F296" i="33"/>
  <c r="G295" i="33"/>
  <c r="F295" i="33"/>
  <c r="I294" i="33"/>
  <c r="J294" i="33"/>
  <c r="J293" i="33"/>
  <c r="I293" i="33"/>
  <c r="I292" i="33"/>
  <c r="J292" i="33"/>
  <c r="H291" i="33"/>
  <c r="I291" i="33"/>
  <c r="J291" i="33"/>
  <c r="F291" i="33"/>
  <c r="G290" i="33"/>
  <c r="I290" i="33"/>
  <c r="J290" i="33"/>
  <c r="F290" i="33"/>
  <c r="G289" i="33"/>
  <c r="I289" i="33"/>
  <c r="J289" i="33"/>
  <c r="F289" i="33"/>
  <c r="G288" i="33"/>
  <c r="I288" i="33"/>
  <c r="J288" i="33"/>
  <c r="F288" i="33"/>
  <c r="I287" i="33"/>
  <c r="J287" i="33"/>
  <c r="J286" i="33"/>
  <c r="I286" i="33"/>
  <c r="I285" i="33"/>
  <c r="J285" i="33"/>
  <c r="G284" i="33"/>
  <c r="F284" i="33"/>
  <c r="I283" i="33"/>
  <c r="J283" i="33"/>
  <c r="H282" i="33"/>
  <c r="I282" i="33"/>
  <c r="J282" i="33"/>
  <c r="F282" i="33"/>
  <c r="H281" i="33"/>
  <c r="I281" i="33"/>
  <c r="J281" i="33"/>
  <c r="I280" i="33"/>
  <c r="J280" i="33"/>
  <c r="I279" i="33"/>
  <c r="J279" i="33"/>
  <c r="I278" i="33"/>
  <c r="J278" i="33"/>
  <c r="I277" i="33"/>
  <c r="G277" i="33"/>
  <c r="F277" i="33"/>
  <c r="I276" i="33"/>
  <c r="J276" i="33"/>
  <c r="I275" i="33"/>
  <c r="G275" i="33"/>
  <c r="F275" i="33"/>
  <c r="I274" i="33"/>
  <c r="J274" i="33"/>
  <c r="I273" i="33"/>
  <c r="G273" i="33"/>
  <c r="F273" i="33"/>
  <c r="I272" i="33"/>
  <c r="J272" i="33"/>
  <c r="I271" i="33"/>
  <c r="J271" i="33"/>
  <c r="I270" i="33"/>
  <c r="J270" i="33"/>
  <c r="I269" i="33"/>
  <c r="J269" i="33"/>
  <c r="I268" i="33"/>
  <c r="J268" i="33"/>
  <c r="I267" i="33"/>
  <c r="J267" i="33"/>
  <c r="I266" i="33"/>
  <c r="J266" i="33"/>
  <c r="I265" i="33"/>
  <c r="J265" i="33"/>
  <c r="I264" i="33"/>
  <c r="J264" i="33"/>
  <c r="I263" i="33"/>
  <c r="J263" i="33"/>
  <c r="I262" i="33"/>
  <c r="J262" i="33"/>
  <c r="I261" i="33"/>
  <c r="J261" i="33"/>
  <c r="I260" i="33"/>
  <c r="J260" i="33"/>
  <c r="I259" i="33"/>
  <c r="J259" i="33"/>
  <c r="I258" i="33"/>
  <c r="J258" i="33"/>
  <c r="I257" i="33"/>
  <c r="J257" i="33"/>
  <c r="I256" i="33"/>
  <c r="J256" i="33"/>
  <c r="I255" i="33"/>
  <c r="J255" i="33"/>
  <c r="I254" i="33"/>
  <c r="J254" i="33"/>
  <c r="I253" i="33"/>
  <c r="J253" i="33"/>
  <c r="I252" i="33"/>
  <c r="J252" i="33"/>
  <c r="I251" i="33"/>
  <c r="J251" i="33"/>
  <c r="I250" i="33"/>
  <c r="J250" i="33"/>
  <c r="I249" i="33"/>
  <c r="J249" i="33"/>
  <c r="I248" i="33"/>
  <c r="J248" i="33"/>
  <c r="I247" i="33"/>
  <c r="J247" i="33"/>
  <c r="H246" i="33"/>
  <c r="I246" i="33"/>
  <c r="J246" i="33"/>
  <c r="F246" i="33"/>
  <c r="I245" i="33"/>
  <c r="J245" i="33"/>
  <c r="I244" i="33"/>
  <c r="J244" i="33"/>
  <c r="I243" i="33"/>
  <c r="J243" i="33"/>
  <c r="I242" i="33"/>
  <c r="G242" i="33"/>
  <c r="F242" i="33"/>
  <c r="I241" i="33"/>
  <c r="J241" i="33"/>
  <c r="I240" i="33"/>
  <c r="G240" i="33"/>
  <c r="F240" i="33"/>
  <c r="I239" i="33"/>
  <c r="J239" i="33"/>
  <c r="G239" i="33"/>
  <c r="F239" i="33"/>
  <c r="I238" i="33"/>
  <c r="J238" i="33"/>
  <c r="I237" i="33"/>
  <c r="J237" i="33"/>
  <c r="I236" i="33"/>
  <c r="G236" i="33"/>
  <c r="F236" i="33"/>
  <c r="I235" i="33"/>
  <c r="J235" i="33"/>
  <c r="I234" i="33"/>
  <c r="J234" i="33"/>
  <c r="I233" i="33"/>
  <c r="G233" i="33"/>
  <c r="F233" i="33"/>
  <c r="I232" i="33"/>
  <c r="J232" i="33"/>
  <c r="I231" i="33"/>
  <c r="J231" i="33"/>
  <c r="I230" i="33"/>
  <c r="J230" i="33"/>
  <c r="I229" i="33"/>
  <c r="J229" i="33"/>
  <c r="I228" i="33"/>
  <c r="J228" i="33"/>
  <c r="I227" i="33"/>
  <c r="J227" i="33"/>
  <c r="I226" i="33"/>
  <c r="J226" i="33"/>
  <c r="I225" i="33"/>
  <c r="J225" i="33"/>
  <c r="I224" i="33"/>
  <c r="G224" i="33"/>
  <c r="F224" i="33"/>
  <c r="I223" i="33"/>
  <c r="J223" i="33"/>
  <c r="I222" i="33"/>
  <c r="J222" i="33"/>
  <c r="G221" i="33"/>
  <c r="F221" i="33"/>
  <c r="I220" i="33"/>
  <c r="J220" i="33"/>
  <c r="I219" i="33"/>
  <c r="J219" i="33"/>
  <c r="I218" i="33"/>
  <c r="J218" i="33"/>
  <c r="G218" i="33"/>
  <c r="G217" i="33"/>
  <c r="I217" i="33"/>
  <c r="F217" i="33"/>
  <c r="I216" i="33"/>
  <c r="J216" i="33"/>
  <c r="G215" i="33"/>
  <c r="I215" i="33"/>
  <c r="I214" i="33"/>
  <c r="J214" i="33"/>
  <c r="I213" i="33"/>
  <c r="J213" i="33"/>
  <c r="I212" i="33"/>
  <c r="J212" i="33"/>
  <c r="I211" i="33"/>
  <c r="J211" i="33"/>
  <c r="I210" i="33"/>
  <c r="J210" i="33"/>
  <c r="G210" i="33"/>
  <c r="F210" i="33"/>
  <c r="I209" i="33"/>
  <c r="J209" i="33"/>
  <c r="G209" i="33"/>
  <c r="F209" i="33"/>
  <c r="I208" i="33"/>
  <c r="J208" i="33"/>
  <c r="I207" i="33"/>
  <c r="J207" i="33"/>
  <c r="I206" i="33"/>
  <c r="J206" i="33"/>
  <c r="I205" i="33"/>
  <c r="G205" i="33"/>
  <c r="F205" i="33"/>
  <c r="I204" i="33"/>
  <c r="J204" i="33"/>
  <c r="I203" i="33"/>
  <c r="J203" i="33"/>
  <c r="I202" i="33"/>
  <c r="J202" i="33"/>
  <c r="I201" i="33"/>
  <c r="J201" i="33"/>
  <c r="I200" i="33"/>
  <c r="J200" i="33"/>
  <c r="J199" i="33"/>
  <c r="I199" i="33"/>
  <c r="G198" i="33"/>
  <c r="I198" i="33"/>
  <c r="F198" i="33"/>
  <c r="I197" i="33"/>
  <c r="J197" i="33"/>
  <c r="I196" i="33"/>
  <c r="J196" i="33"/>
  <c r="I195" i="33"/>
  <c r="J195" i="33"/>
  <c r="J194" i="33"/>
  <c r="I194" i="33"/>
  <c r="I193" i="33"/>
  <c r="J193" i="33"/>
  <c r="I192" i="33"/>
  <c r="J192" i="33"/>
  <c r="G191" i="33"/>
  <c r="I191" i="33"/>
  <c r="F191" i="33"/>
  <c r="I190" i="33"/>
  <c r="J190" i="33"/>
  <c r="I189" i="33"/>
  <c r="J189" i="33"/>
  <c r="I188" i="33"/>
  <c r="G188" i="33"/>
  <c r="F188" i="33"/>
  <c r="I187" i="33"/>
  <c r="J187" i="33"/>
  <c r="J186" i="33"/>
  <c r="I186" i="33"/>
  <c r="G186" i="33"/>
  <c r="F186" i="33"/>
  <c r="J185" i="33"/>
  <c r="I185" i="33"/>
  <c r="G185" i="33"/>
  <c r="F185" i="33"/>
  <c r="J184" i="33"/>
  <c r="I184" i="33"/>
  <c r="I183" i="33"/>
  <c r="J183" i="33"/>
  <c r="J182" i="33"/>
  <c r="I182" i="33"/>
  <c r="I181" i="33"/>
  <c r="J181" i="33"/>
  <c r="G180" i="33"/>
  <c r="I180" i="33"/>
  <c r="J180" i="33"/>
  <c r="F180" i="33"/>
  <c r="I179" i="33"/>
  <c r="J179" i="33"/>
  <c r="G179" i="33"/>
  <c r="F179" i="33"/>
  <c r="I178" i="33"/>
  <c r="J178" i="33"/>
  <c r="G178" i="33"/>
  <c r="F178" i="33"/>
  <c r="I177" i="33"/>
  <c r="J177" i="33"/>
  <c r="G177" i="33"/>
  <c r="F177" i="33"/>
  <c r="G176" i="33"/>
  <c r="I176" i="33"/>
  <c r="J176" i="33"/>
  <c r="F176" i="33"/>
  <c r="I175" i="33"/>
  <c r="J175" i="33"/>
  <c r="G174" i="33"/>
  <c r="F174" i="33"/>
  <c r="I173" i="33"/>
  <c r="J173" i="33"/>
  <c r="I172" i="33"/>
  <c r="J172" i="33"/>
  <c r="G172" i="33"/>
  <c r="F172" i="33"/>
  <c r="J171" i="33"/>
  <c r="I171" i="33"/>
  <c r="I170" i="33"/>
  <c r="J170" i="33"/>
  <c r="J169" i="33"/>
  <c r="I169" i="33"/>
  <c r="I168" i="33"/>
  <c r="G168" i="33"/>
  <c r="F168" i="33"/>
  <c r="I167" i="33"/>
  <c r="J167" i="33"/>
  <c r="I166" i="33"/>
  <c r="J166" i="33"/>
  <c r="I165" i="33"/>
  <c r="J165" i="33"/>
  <c r="J164" i="33"/>
  <c r="I164" i="33"/>
  <c r="G164" i="33"/>
  <c r="F164" i="33"/>
  <c r="J163" i="33"/>
  <c r="I163" i="33"/>
  <c r="G163" i="33"/>
  <c r="F163" i="33"/>
  <c r="J162" i="33"/>
  <c r="I162" i="33"/>
  <c r="G162" i="33"/>
  <c r="F162" i="33"/>
  <c r="J161" i="33"/>
  <c r="I161" i="33"/>
  <c r="G161" i="33"/>
  <c r="F161" i="33"/>
  <c r="J160" i="33"/>
  <c r="I160" i="33"/>
  <c r="I159" i="33"/>
  <c r="J159" i="33"/>
  <c r="I158" i="33"/>
  <c r="G158" i="33"/>
  <c r="J158" i="33"/>
  <c r="F158" i="33"/>
  <c r="I157" i="33"/>
  <c r="G157" i="33"/>
  <c r="J157" i="33"/>
  <c r="F157" i="33"/>
  <c r="I156" i="33"/>
  <c r="G156" i="33"/>
  <c r="J156" i="33"/>
  <c r="F156" i="33"/>
  <c r="I155" i="33"/>
  <c r="J155" i="33"/>
  <c r="I154" i="33"/>
  <c r="J154" i="33"/>
  <c r="I153" i="33"/>
  <c r="J153" i="33"/>
  <c r="I152" i="33"/>
  <c r="J152" i="33"/>
  <c r="J151" i="33"/>
  <c r="I151" i="33"/>
  <c r="I150" i="33"/>
  <c r="J150" i="33"/>
  <c r="I149" i="33"/>
  <c r="J149" i="33"/>
  <c r="I148" i="33"/>
  <c r="J148" i="33"/>
  <c r="I147" i="33"/>
  <c r="J147" i="33"/>
  <c r="I146" i="33"/>
  <c r="J146" i="33"/>
  <c r="I145" i="33"/>
  <c r="J145" i="33"/>
  <c r="I144" i="33"/>
  <c r="J144" i="33"/>
  <c r="J143" i="33"/>
  <c r="I143" i="33"/>
  <c r="I142" i="33"/>
  <c r="J142" i="33"/>
  <c r="I141" i="33"/>
  <c r="J141" i="33"/>
  <c r="I140" i="33"/>
  <c r="J140" i="33"/>
  <c r="I139" i="33"/>
  <c r="J139" i="33"/>
  <c r="I138" i="33"/>
  <c r="J138" i="33"/>
  <c r="I137" i="33"/>
  <c r="J137" i="33"/>
  <c r="I136" i="33"/>
  <c r="J136" i="33"/>
  <c r="I135" i="33"/>
  <c r="J135" i="33"/>
  <c r="I134" i="33"/>
  <c r="J134" i="33"/>
  <c r="I133" i="33"/>
  <c r="J133" i="33"/>
  <c r="G133" i="33"/>
  <c r="F133" i="33"/>
  <c r="I132" i="33"/>
  <c r="J132" i="33"/>
  <c r="I131" i="33"/>
  <c r="J131" i="33"/>
  <c r="J130" i="33"/>
  <c r="I130" i="33"/>
  <c r="I129" i="33"/>
  <c r="J129" i="33"/>
  <c r="I128" i="33"/>
  <c r="J128" i="33"/>
  <c r="I127" i="33"/>
  <c r="J127" i="33"/>
  <c r="I126" i="33"/>
  <c r="J126" i="33"/>
  <c r="I125" i="33"/>
  <c r="G125" i="33"/>
  <c r="F125" i="33"/>
  <c r="I124" i="33"/>
  <c r="J124" i="33"/>
  <c r="J123" i="33"/>
  <c r="I123" i="33"/>
  <c r="I122" i="33"/>
  <c r="J122" i="33"/>
  <c r="I121" i="33"/>
  <c r="J121" i="33"/>
  <c r="I120" i="33"/>
  <c r="J120" i="33"/>
  <c r="J119" i="33"/>
  <c r="I119" i="33"/>
  <c r="G119" i="33"/>
  <c r="F119" i="33"/>
  <c r="J118" i="33"/>
  <c r="I118" i="33"/>
  <c r="G118" i="33"/>
  <c r="F118" i="33"/>
  <c r="J117" i="33"/>
  <c r="I117" i="33"/>
  <c r="I116" i="33"/>
  <c r="J116" i="33"/>
  <c r="J115" i="33"/>
  <c r="I115" i="33"/>
  <c r="G115" i="33"/>
  <c r="F115" i="33"/>
  <c r="J114" i="33"/>
  <c r="I114" i="33"/>
  <c r="H114" i="33"/>
  <c r="G113" i="33"/>
  <c r="I113" i="33"/>
  <c r="J113" i="33"/>
  <c r="F113" i="33"/>
  <c r="I112" i="33"/>
  <c r="J112" i="33"/>
  <c r="I111" i="33"/>
  <c r="J111" i="33"/>
  <c r="I110" i="33"/>
  <c r="J110" i="33"/>
  <c r="J109" i="33"/>
  <c r="G109" i="33"/>
  <c r="I109" i="33"/>
  <c r="F109" i="33"/>
  <c r="J108" i="33"/>
  <c r="I108" i="33"/>
  <c r="G107" i="33"/>
  <c r="F107" i="33"/>
  <c r="I106" i="33"/>
  <c r="G106" i="33"/>
  <c r="F106" i="33"/>
  <c r="I105" i="33"/>
  <c r="J105" i="33"/>
  <c r="J104" i="33"/>
  <c r="I104" i="33"/>
  <c r="I103" i="33"/>
  <c r="G103" i="33"/>
  <c r="F103" i="33"/>
  <c r="G102" i="33"/>
  <c r="I102" i="33"/>
  <c r="F102" i="33"/>
  <c r="I101" i="33"/>
  <c r="J101" i="33"/>
  <c r="G100" i="33"/>
  <c r="I100" i="33"/>
  <c r="J100" i="33"/>
  <c r="F100" i="33"/>
  <c r="J99" i="33"/>
  <c r="G99" i="33"/>
  <c r="I99" i="33"/>
  <c r="F99" i="33"/>
  <c r="G98" i="33"/>
  <c r="I98" i="33"/>
  <c r="F98" i="33"/>
  <c r="J97" i="33"/>
  <c r="G97" i="33"/>
  <c r="I97" i="33"/>
  <c r="F97" i="33"/>
  <c r="J96" i="33"/>
  <c r="I96" i="33"/>
  <c r="I95" i="33"/>
  <c r="J95" i="33"/>
  <c r="J94" i="33"/>
  <c r="I94" i="33"/>
  <c r="I93" i="33"/>
  <c r="J93" i="33"/>
  <c r="H92" i="33"/>
  <c r="I92" i="33"/>
  <c r="J92" i="33"/>
  <c r="F92" i="33"/>
  <c r="I91" i="33"/>
  <c r="J91" i="33"/>
  <c r="G90" i="33"/>
  <c r="F90" i="33"/>
  <c r="I89" i="33"/>
  <c r="J89" i="33"/>
  <c r="J88" i="33"/>
  <c r="H88" i="33"/>
  <c r="I88" i="33"/>
  <c r="F88" i="33"/>
  <c r="I87" i="33"/>
  <c r="J87" i="33"/>
  <c r="J86" i="33"/>
  <c r="I86" i="33"/>
  <c r="I85" i="33"/>
  <c r="J85" i="33"/>
  <c r="J84" i="33"/>
  <c r="I84" i="33"/>
  <c r="H83" i="33"/>
  <c r="I83" i="33"/>
  <c r="J83" i="33"/>
  <c r="F83" i="33"/>
  <c r="J82" i="33"/>
  <c r="G82" i="33"/>
  <c r="I82" i="33"/>
  <c r="F82" i="33"/>
  <c r="J81" i="33"/>
  <c r="G81" i="33"/>
  <c r="I81" i="33"/>
  <c r="F81" i="33"/>
  <c r="I80" i="33"/>
  <c r="J80" i="33"/>
  <c r="H79" i="33"/>
  <c r="I79" i="33"/>
  <c r="J79" i="33"/>
  <c r="I78" i="33"/>
  <c r="J78" i="33"/>
  <c r="I77" i="33"/>
  <c r="J77" i="33"/>
  <c r="H77" i="33"/>
  <c r="F77" i="33"/>
  <c r="I76" i="33"/>
  <c r="J76" i="33"/>
  <c r="I75" i="33"/>
  <c r="J75" i="33"/>
  <c r="I74" i="33"/>
  <c r="J74" i="33"/>
  <c r="I73" i="33"/>
  <c r="J73" i="33"/>
  <c r="J72" i="33"/>
  <c r="I72" i="33"/>
  <c r="G71" i="33"/>
  <c r="I71" i="33"/>
  <c r="F71" i="33"/>
  <c r="I70" i="33"/>
  <c r="G70" i="33"/>
  <c r="F70" i="33"/>
  <c r="I69" i="33"/>
  <c r="J69" i="33"/>
  <c r="G68" i="33"/>
  <c r="F68" i="33"/>
  <c r="G67" i="33"/>
  <c r="F67" i="33"/>
  <c r="I66" i="33"/>
  <c r="J66" i="33"/>
  <c r="I65" i="33"/>
  <c r="J65" i="33"/>
  <c r="J64" i="33"/>
  <c r="I64" i="33"/>
  <c r="H64" i="33"/>
  <c r="I63" i="33"/>
  <c r="J63" i="33"/>
  <c r="J62" i="33"/>
  <c r="G62" i="33"/>
  <c r="I62" i="33"/>
  <c r="F62" i="33"/>
  <c r="G61" i="33"/>
  <c r="I61" i="33"/>
  <c r="F61" i="33"/>
  <c r="I60" i="33"/>
  <c r="J60" i="33"/>
  <c r="I59" i="33"/>
  <c r="G59" i="33"/>
  <c r="J59" i="33"/>
  <c r="F59" i="33"/>
  <c r="I58" i="33"/>
  <c r="J58" i="33"/>
  <c r="G57" i="33"/>
  <c r="I57" i="33"/>
  <c r="F57" i="33"/>
  <c r="I56" i="33"/>
  <c r="J56" i="33"/>
  <c r="I55" i="33"/>
  <c r="J55" i="33"/>
  <c r="G55" i="33"/>
  <c r="F55" i="33"/>
  <c r="I54" i="33"/>
  <c r="J54" i="33"/>
  <c r="G54" i="33"/>
  <c r="F54" i="33"/>
  <c r="H53" i="33"/>
  <c r="I53" i="33"/>
  <c r="J53" i="33"/>
  <c r="G52" i="33"/>
  <c r="F52" i="33"/>
  <c r="Q51" i="33"/>
  <c r="Q403" i="33"/>
  <c r="P51" i="33"/>
  <c r="P403" i="33"/>
  <c r="O51" i="33"/>
  <c r="I51" i="33"/>
  <c r="J51" i="33"/>
  <c r="G51" i="33"/>
  <c r="F51" i="33"/>
  <c r="I50" i="33"/>
  <c r="J50" i="33"/>
  <c r="G50" i="33"/>
  <c r="F50" i="33"/>
  <c r="I49" i="33"/>
  <c r="J49" i="33"/>
  <c r="G49" i="33"/>
  <c r="F49" i="33"/>
  <c r="G48" i="33"/>
  <c r="I48" i="33"/>
  <c r="J48" i="33"/>
  <c r="F48" i="33"/>
  <c r="I47" i="33"/>
  <c r="J47" i="33"/>
  <c r="G46" i="33"/>
  <c r="I46" i="33"/>
  <c r="F46" i="33"/>
  <c r="I45" i="33"/>
  <c r="G45" i="33"/>
  <c r="F45" i="33"/>
  <c r="I44" i="33"/>
  <c r="G44" i="33"/>
  <c r="F44" i="33"/>
  <c r="I43" i="33"/>
  <c r="G43" i="33"/>
  <c r="F43" i="33"/>
  <c r="I42" i="33"/>
  <c r="J42" i="33"/>
  <c r="I41" i="33"/>
  <c r="J41" i="33"/>
  <c r="I40" i="33"/>
  <c r="J40" i="33"/>
  <c r="H40" i="33"/>
  <c r="G39" i="33"/>
  <c r="F39" i="33"/>
  <c r="G38" i="33"/>
  <c r="F38" i="33"/>
  <c r="I37" i="33"/>
  <c r="J37" i="33"/>
  <c r="G36" i="33"/>
  <c r="I36" i="33"/>
  <c r="J36" i="33"/>
  <c r="F36" i="33"/>
  <c r="I35" i="33"/>
  <c r="J35" i="33"/>
  <c r="G34" i="33"/>
  <c r="F34" i="33"/>
  <c r="G33" i="33"/>
  <c r="F33" i="33"/>
  <c r="G32" i="33"/>
  <c r="F32" i="33"/>
  <c r="I31" i="33"/>
  <c r="J31" i="33"/>
  <c r="J30" i="33"/>
  <c r="I30" i="33"/>
  <c r="I29" i="33"/>
  <c r="J29" i="33"/>
  <c r="H28" i="33"/>
  <c r="I28" i="33"/>
  <c r="J28" i="33"/>
  <c r="F28" i="33"/>
  <c r="G27" i="33"/>
  <c r="I27" i="33"/>
  <c r="J27" i="33"/>
  <c r="F27" i="33"/>
  <c r="J26" i="33"/>
  <c r="I26" i="33"/>
  <c r="I25" i="33"/>
  <c r="J25" i="33"/>
  <c r="J24" i="33"/>
  <c r="I24" i="33"/>
  <c r="I23" i="33"/>
  <c r="J23" i="33"/>
  <c r="J22" i="33"/>
  <c r="I22" i="33"/>
  <c r="G21" i="33"/>
  <c r="F21" i="33"/>
  <c r="J20" i="33"/>
  <c r="I20" i="33"/>
  <c r="I19" i="33"/>
  <c r="J19" i="33"/>
  <c r="J18" i="33"/>
  <c r="I18" i="33"/>
  <c r="I17" i="33"/>
  <c r="J17" i="33"/>
  <c r="J16" i="33"/>
  <c r="I16" i="33"/>
  <c r="I15" i="33"/>
  <c r="J15" i="33"/>
  <c r="J14" i="33"/>
  <c r="I14" i="33"/>
  <c r="I13" i="33"/>
  <c r="J13" i="33"/>
  <c r="J12" i="33"/>
  <c r="I12" i="33"/>
  <c r="I11" i="33"/>
  <c r="J11" i="33"/>
  <c r="J10" i="33"/>
  <c r="I10" i="33"/>
  <c r="O9" i="33"/>
  <c r="I9" i="33"/>
  <c r="J9" i="33"/>
  <c r="H9" i="33"/>
  <c r="F9" i="33"/>
  <c r="G8" i="33"/>
  <c r="I8" i="33"/>
  <c r="J8" i="33"/>
  <c r="F8" i="33"/>
  <c r="I7" i="33"/>
  <c r="J7" i="33"/>
  <c r="G7" i="33"/>
  <c r="F7" i="33"/>
  <c r="I6" i="33"/>
  <c r="J6" i="33"/>
  <c r="G6" i="33"/>
  <c r="F6" i="33"/>
  <c r="I5" i="33"/>
  <c r="J5" i="33"/>
  <c r="I4" i="33"/>
  <c r="J4" i="33"/>
  <c r="I3" i="33"/>
  <c r="J3" i="33"/>
  <c r="G3" i="33"/>
  <c r="F3" i="33"/>
  <c r="F403" i="33"/>
  <c r="I2" i="33"/>
  <c r="T403" i="32"/>
  <c r="S403" i="32"/>
  <c r="R403" i="32"/>
  <c r="G354" i="32"/>
  <c r="I354" i="32"/>
  <c r="J354" i="32"/>
  <c r="F354" i="32"/>
  <c r="J90" i="32"/>
  <c r="I90" i="32"/>
  <c r="I352" i="32"/>
  <c r="J352" i="32"/>
  <c r="I102" i="32"/>
  <c r="J102" i="32"/>
  <c r="I12" i="32"/>
  <c r="J12" i="32"/>
  <c r="G390" i="32"/>
  <c r="I390" i="32"/>
  <c r="J390" i="32"/>
  <c r="F390" i="32"/>
  <c r="G17" i="32"/>
  <c r="F17" i="32"/>
  <c r="G38" i="32"/>
  <c r="I38" i="32"/>
  <c r="F38" i="32"/>
  <c r="G36" i="32"/>
  <c r="I36" i="32"/>
  <c r="J36" i="32"/>
  <c r="F36" i="32"/>
  <c r="G163" i="32"/>
  <c r="F163" i="32"/>
  <c r="I399" i="32"/>
  <c r="J399" i="32"/>
  <c r="G11" i="32"/>
  <c r="I11" i="32"/>
  <c r="J11" i="32"/>
  <c r="F11" i="32"/>
  <c r="G160" i="32"/>
  <c r="I160" i="32"/>
  <c r="J160" i="32"/>
  <c r="F160" i="32"/>
  <c r="G24" i="32"/>
  <c r="I24" i="32"/>
  <c r="J24" i="32"/>
  <c r="F24" i="32"/>
  <c r="I376" i="32"/>
  <c r="J376" i="32"/>
  <c r="J360" i="32"/>
  <c r="I360" i="32"/>
  <c r="G51" i="32"/>
  <c r="I51" i="32"/>
  <c r="J51" i="32"/>
  <c r="F51" i="32"/>
  <c r="G348" i="32"/>
  <c r="I348" i="32"/>
  <c r="J348" i="32"/>
  <c r="F348" i="32"/>
  <c r="I153" i="32"/>
  <c r="J153" i="32"/>
  <c r="I300" i="32"/>
  <c r="J300" i="32"/>
  <c r="I39" i="32"/>
  <c r="J39" i="32"/>
  <c r="I385" i="32"/>
  <c r="J385" i="32"/>
  <c r="G271" i="32"/>
  <c r="I271" i="32"/>
  <c r="J271" i="32"/>
  <c r="F271" i="32"/>
  <c r="I335" i="32"/>
  <c r="J335" i="32"/>
  <c r="I68" i="32"/>
  <c r="J68" i="32"/>
  <c r="G258" i="32"/>
  <c r="I258" i="32"/>
  <c r="J258" i="32"/>
  <c r="F258" i="32"/>
  <c r="I131" i="32"/>
  <c r="J131" i="32"/>
  <c r="H392" i="32"/>
  <c r="I392" i="32"/>
  <c r="J392" i="32"/>
  <c r="I295" i="32"/>
  <c r="J295" i="32"/>
  <c r="G286" i="32"/>
  <c r="F286" i="32"/>
  <c r="G309" i="32"/>
  <c r="F309" i="32"/>
  <c r="G304" i="32"/>
  <c r="I304" i="32"/>
  <c r="F304" i="32"/>
  <c r="I370" i="32"/>
  <c r="J370" i="32"/>
  <c r="I33" i="32"/>
  <c r="J33" i="32"/>
  <c r="G16" i="32"/>
  <c r="F16" i="32"/>
  <c r="G13" i="32"/>
  <c r="F13" i="32"/>
  <c r="I15" i="32"/>
  <c r="J15" i="32"/>
  <c r="H15" i="32"/>
  <c r="F15" i="32"/>
  <c r="I74" i="32"/>
  <c r="J74" i="32"/>
  <c r="I6" i="32"/>
  <c r="J6" i="32"/>
  <c r="H6" i="32"/>
  <c r="F6" i="32"/>
  <c r="I141" i="32"/>
  <c r="J141" i="32"/>
  <c r="G141" i="32"/>
  <c r="F141" i="32"/>
  <c r="I42" i="32"/>
  <c r="J42" i="32"/>
  <c r="G82" i="32"/>
  <c r="F82" i="32"/>
  <c r="I356" i="32"/>
  <c r="J356" i="32"/>
  <c r="I83" i="32"/>
  <c r="J83" i="32"/>
  <c r="I285" i="32"/>
  <c r="G285" i="32"/>
  <c r="F285" i="32"/>
  <c r="G116" i="32"/>
  <c r="I116" i="32"/>
  <c r="F116" i="32"/>
  <c r="I80" i="32"/>
  <c r="J80" i="32"/>
  <c r="I172" i="32"/>
  <c r="J172" i="32"/>
  <c r="G290" i="32"/>
  <c r="F290" i="32"/>
  <c r="I140" i="32"/>
  <c r="G140" i="32"/>
  <c r="F140" i="32"/>
  <c r="I284" i="32"/>
  <c r="J284" i="32"/>
  <c r="I103" i="32"/>
  <c r="J103" i="32"/>
  <c r="G307" i="32"/>
  <c r="F307" i="32"/>
  <c r="G280" i="32"/>
  <c r="F280" i="32"/>
  <c r="G289" i="32"/>
  <c r="I289" i="32"/>
  <c r="F289" i="32"/>
  <c r="I277" i="32"/>
  <c r="J277" i="32"/>
  <c r="G162" i="32"/>
  <c r="I162" i="32"/>
  <c r="J162" i="32"/>
  <c r="F162" i="32"/>
  <c r="I158" i="32"/>
  <c r="J158" i="32"/>
  <c r="G158" i="32"/>
  <c r="F158" i="32"/>
  <c r="I145" i="32"/>
  <c r="J145" i="32"/>
  <c r="G145" i="32"/>
  <c r="F145" i="32"/>
  <c r="I89" i="32"/>
  <c r="J89" i="32"/>
  <c r="G89" i="32"/>
  <c r="F89" i="32"/>
  <c r="I254" i="32"/>
  <c r="J254" i="32"/>
  <c r="I246" i="32"/>
  <c r="J246" i="32"/>
  <c r="I4" i="32"/>
  <c r="J4" i="32"/>
  <c r="G4" i="32"/>
  <c r="F4" i="32"/>
  <c r="I81" i="32"/>
  <c r="J81" i="32"/>
  <c r="I149" i="32"/>
  <c r="J149" i="32"/>
  <c r="I7" i="32"/>
  <c r="J7" i="32"/>
  <c r="G7" i="32"/>
  <c r="F7" i="32"/>
  <c r="I242" i="32"/>
  <c r="J242" i="32"/>
  <c r="I365" i="32"/>
  <c r="J365" i="32"/>
  <c r="I253" i="32"/>
  <c r="J253" i="32"/>
  <c r="G282" i="32"/>
  <c r="F282" i="32"/>
  <c r="H18" i="32"/>
  <c r="I18" i="32"/>
  <c r="J18" i="32"/>
  <c r="F18" i="32"/>
  <c r="I107" i="32"/>
  <c r="J107" i="32"/>
  <c r="I250" i="32"/>
  <c r="J250" i="32"/>
  <c r="I251" i="32"/>
  <c r="J251" i="32"/>
  <c r="G76" i="32"/>
  <c r="I76" i="32"/>
  <c r="J76" i="32"/>
  <c r="F76" i="32"/>
  <c r="I152" i="32"/>
  <c r="J152" i="32"/>
  <c r="G61" i="32"/>
  <c r="F61" i="32"/>
  <c r="F91" i="32"/>
  <c r="G91" i="32"/>
  <c r="I201" i="32"/>
  <c r="J201" i="32"/>
  <c r="F139" i="32"/>
  <c r="G139" i="32"/>
  <c r="I139" i="32"/>
  <c r="F178" i="32"/>
  <c r="G178" i="32"/>
  <c r="I328" i="32"/>
  <c r="J328" i="32"/>
  <c r="H328" i="32"/>
  <c r="F328" i="32"/>
  <c r="I171" i="32"/>
  <c r="J171" i="32"/>
  <c r="G338" i="32"/>
  <c r="F338" i="32"/>
  <c r="G269" i="32"/>
  <c r="I269" i="32"/>
  <c r="F269" i="32"/>
  <c r="I313" i="32"/>
  <c r="J313" i="32"/>
  <c r="I181" i="32"/>
  <c r="J181" i="32"/>
  <c r="G173" i="32"/>
  <c r="F173" i="32"/>
  <c r="G177" i="32"/>
  <c r="F177" i="32"/>
  <c r="I114" i="32"/>
  <c r="J114" i="32"/>
  <c r="I96" i="32"/>
  <c r="J96" i="32"/>
  <c r="H96" i="32"/>
  <c r="F96" i="32"/>
  <c r="I340" i="32"/>
  <c r="J340" i="32"/>
  <c r="I137" i="32"/>
  <c r="J137" i="32"/>
  <c r="I136" i="32"/>
  <c r="J136" i="32"/>
  <c r="I87" i="32"/>
  <c r="J87" i="32"/>
  <c r="J310" i="32"/>
  <c r="I310" i="32"/>
  <c r="H73" i="32"/>
  <c r="I73" i="32"/>
  <c r="J73" i="32"/>
  <c r="F73" i="32"/>
  <c r="I314" i="32"/>
  <c r="J314" i="32"/>
  <c r="I48" i="32"/>
  <c r="J48" i="32"/>
  <c r="H48" i="32"/>
  <c r="G294" i="32"/>
  <c r="F294" i="32"/>
  <c r="I378" i="32"/>
  <c r="J378" i="32"/>
  <c r="G124" i="32"/>
  <c r="F124" i="32"/>
  <c r="H389" i="32"/>
  <c r="I389" i="32"/>
  <c r="J389" i="32"/>
  <c r="F389" i="32"/>
  <c r="H387" i="32"/>
  <c r="I387" i="32"/>
  <c r="J387" i="32"/>
  <c r="F387" i="32"/>
  <c r="G257" i="32"/>
  <c r="I257" i="32"/>
  <c r="J257" i="32"/>
  <c r="F257" i="32"/>
  <c r="G256" i="32"/>
  <c r="I256" i="32"/>
  <c r="F256" i="32"/>
  <c r="I60" i="32"/>
  <c r="J60" i="32"/>
  <c r="I236" i="32"/>
  <c r="J236" i="32"/>
  <c r="I195" i="32"/>
  <c r="J195" i="32"/>
  <c r="H388" i="32"/>
  <c r="I388" i="32"/>
  <c r="J388" i="32"/>
  <c r="F388" i="32"/>
  <c r="I368" i="32"/>
  <c r="J368" i="32"/>
  <c r="G368" i="32"/>
  <c r="F368" i="32"/>
  <c r="I369" i="32"/>
  <c r="J369" i="32"/>
  <c r="G369" i="32"/>
  <c r="F369" i="32"/>
  <c r="I165" i="32"/>
  <c r="J165" i="32"/>
  <c r="G165" i="32"/>
  <c r="F165" i="32"/>
  <c r="I317" i="32"/>
  <c r="J317" i="32"/>
  <c r="I316" i="32"/>
  <c r="J316" i="32"/>
  <c r="I88" i="32"/>
  <c r="J88" i="32"/>
  <c r="G298" i="32"/>
  <c r="F298" i="32"/>
  <c r="I265" i="32"/>
  <c r="J265" i="32"/>
  <c r="I383" i="32"/>
  <c r="J383" i="32"/>
  <c r="H383" i="32"/>
  <c r="F383" i="32"/>
  <c r="I50" i="32"/>
  <c r="J50" i="32"/>
  <c r="H50" i="32"/>
  <c r="I84" i="32"/>
  <c r="J84" i="32"/>
  <c r="I168" i="32"/>
  <c r="J168" i="32"/>
  <c r="I75" i="32"/>
  <c r="J75" i="32"/>
  <c r="I371" i="32"/>
  <c r="J371" i="32"/>
  <c r="G371" i="32"/>
  <c r="F371" i="32"/>
  <c r="I349" i="32"/>
  <c r="J349" i="32"/>
  <c r="I2" i="32"/>
  <c r="G2" i="32"/>
  <c r="F2" i="32"/>
  <c r="I183" i="32"/>
  <c r="J183" i="32"/>
  <c r="J367" i="32"/>
  <c r="I367" i="32"/>
  <c r="G367" i="32"/>
  <c r="F367" i="32"/>
  <c r="J150" i="32"/>
  <c r="I150" i="32"/>
  <c r="I194" i="32"/>
  <c r="J194" i="32"/>
  <c r="I235" i="32"/>
  <c r="J235" i="32"/>
  <c r="I193" i="32"/>
  <c r="J193" i="32"/>
  <c r="I203" i="32"/>
  <c r="J203" i="32"/>
  <c r="I192" i="32"/>
  <c r="J192" i="32"/>
  <c r="I191" i="32"/>
  <c r="J191" i="32"/>
  <c r="I218" i="32"/>
  <c r="J218" i="32"/>
  <c r="J190" i="32"/>
  <c r="I190" i="32"/>
  <c r="I189" i="32"/>
  <c r="J189" i="32"/>
  <c r="I188" i="32"/>
  <c r="J188" i="32"/>
  <c r="I187" i="32"/>
  <c r="J187" i="32"/>
  <c r="I217" i="32"/>
  <c r="J217" i="32"/>
  <c r="I216" i="32"/>
  <c r="J216" i="32"/>
  <c r="I215" i="32"/>
  <c r="J215" i="32"/>
  <c r="I214" i="32"/>
  <c r="J214" i="32"/>
  <c r="I213" i="32"/>
  <c r="J213" i="32"/>
  <c r="I66" i="32"/>
  <c r="J66" i="32"/>
  <c r="I364" i="32"/>
  <c r="J364" i="32"/>
  <c r="I23" i="32"/>
  <c r="J23" i="32"/>
  <c r="I223" i="32"/>
  <c r="J223" i="32"/>
  <c r="I227" i="32"/>
  <c r="J227" i="32"/>
  <c r="I206" i="32"/>
  <c r="J206" i="32"/>
  <c r="I95" i="32"/>
  <c r="J95" i="32"/>
  <c r="I41" i="32"/>
  <c r="J41" i="32"/>
  <c r="I197" i="32"/>
  <c r="J197" i="32"/>
  <c r="I276" i="32"/>
  <c r="J276" i="32"/>
  <c r="H276" i="32"/>
  <c r="F276" i="32"/>
  <c r="I19" i="32"/>
  <c r="J19" i="32"/>
  <c r="I230" i="32"/>
  <c r="J230" i="32"/>
  <c r="I397" i="32"/>
  <c r="J397" i="32"/>
  <c r="I297" i="32"/>
  <c r="G297" i="32"/>
  <c r="F297" i="32"/>
  <c r="I67" i="32"/>
  <c r="J67" i="32"/>
  <c r="I115" i="32"/>
  <c r="J115" i="32"/>
  <c r="G115" i="32"/>
  <c r="F115" i="32"/>
  <c r="G176" i="32"/>
  <c r="I176" i="32"/>
  <c r="J176" i="32"/>
  <c r="F176" i="32"/>
  <c r="I326" i="32"/>
  <c r="J326" i="32"/>
  <c r="I375" i="32"/>
  <c r="J375" i="32"/>
  <c r="I302" i="32"/>
  <c r="J302" i="32"/>
  <c r="G302" i="32"/>
  <c r="F302" i="32"/>
  <c r="I212" i="32"/>
  <c r="J212" i="32"/>
  <c r="I198" i="32"/>
  <c r="J198" i="32"/>
  <c r="I268" i="32"/>
  <c r="J268" i="32"/>
  <c r="G268" i="32"/>
  <c r="F268" i="32"/>
  <c r="I372" i="32"/>
  <c r="J372" i="32"/>
  <c r="I109" i="32"/>
  <c r="J109" i="32"/>
  <c r="I22" i="32"/>
  <c r="J22" i="32"/>
  <c r="I205" i="32"/>
  <c r="J205" i="32"/>
  <c r="I347" i="32"/>
  <c r="J347" i="32"/>
  <c r="I184" i="32"/>
  <c r="J184" i="32"/>
  <c r="I226" i="32"/>
  <c r="J226" i="32"/>
  <c r="I219" i="32"/>
  <c r="J219" i="32"/>
  <c r="I9" i="32"/>
  <c r="J9" i="32"/>
  <c r="G9" i="32"/>
  <c r="F9" i="32"/>
  <c r="I336" i="32"/>
  <c r="J336" i="32"/>
  <c r="I69" i="32"/>
  <c r="J69" i="32"/>
  <c r="G5" i="32"/>
  <c r="F5" i="32"/>
  <c r="I94" i="32"/>
  <c r="J94" i="32"/>
  <c r="I111" i="32"/>
  <c r="J111" i="32"/>
  <c r="G325" i="32"/>
  <c r="G180" i="32"/>
  <c r="F180" i="32"/>
  <c r="J27" i="32"/>
  <c r="I27" i="32"/>
  <c r="G43" i="32"/>
  <c r="I350" i="32"/>
  <c r="J350" i="32"/>
  <c r="I37" i="32"/>
  <c r="J37" i="32"/>
  <c r="I346" i="32"/>
  <c r="J346" i="32"/>
  <c r="I320" i="32"/>
  <c r="J320" i="32"/>
  <c r="G77" i="32"/>
  <c r="F77" i="32"/>
  <c r="G379" i="32"/>
  <c r="F379" i="32"/>
  <c r="I363" i="32"/>
  <c r="J363" i="32"/>
  <c r="I159" i="32"/>
  <c r="J159" i="32"/>
  <c r="I358" i="32"/>
  <c r="J358" i="32"/>
  <c r="I273" i="32"/>
  <c r="J273" i="32"/>
  <c r="G273" i="32"/>
  <c r="F273" i="32"/>
  <c r="I249" i="32"/>
  <c r="J249" i="32"/>
  <c r="I244" i="32"/>
  <c r="J244" i="32"/>
  <c r="I312" i="32"/>
  <c r="J312" i="32"/>
  <c r="I334" i="32"/>
  <c r="J334" i="32"/>
  <c r="I222" i="32"/>
  <c r="J222" i="32"/>
  <c r="J319" i="32"/>
  <c r="I319" i="32"/>
  <c r="G252" i="32"/>
  <c r="I252" i="32"/>
  <c r="J252" i="32"/>
  <c r="F252" i="32"/>
  <c r="I148" i="32"/>
  <c r="J148" i="32"/>
  <c r="I46" i="32"/>
  <c r="J46" i="32"/>
  <c r="I151" i="32"/>
  <c r="J151" i="32"/>
  <c r="I221" i="32"/>
  <c r="J221" i="32"/>
  <c r="I224" i="32"/>
  <c r="J224" i="32"/>
  <c r="I147" i="32"/>
  <c r="J147" i="32"/>
  <c r="I264" i="32"/>
  <c r="J264" i="32"/>
  <c r="G264" i="32"/>
  <c r="F264" i="32"/>
  <c r="I85" i="32"/>
  <c r="J85" i="32"/>
  <c r="I225" i="32"/>
  <c r="J225" i="32"/>
  <c r="I106" i="32"/>
  <c r="J106" i="32"/>
  <c r="G106" i="32"/>
  <c r="F106" i="32"/>
  <c r="I54" i="32"/>
  <c r="J54" i="32"/>
  <c r="G275" i="32"/>
  <c r="F275" i="32"/>
  <c r="G301" i="32"/>
  <c r="F301" i="32"/>
  <c r="J308" i="32"/>
  <c r="I308" i="32"/>
  <c r="I199" i="32"/>
  <c r="J199" i="32"/>
  <c r="I238" i="32"/>
  <c r="J238" i="32"/>
  <c r="I241" i="32"/>
  <c r="J241" i="32"/>
  <c r="G315" i="32"/>
  <c r="F315" i="32"/>
  <c r="G339" i="32"/>
  <c r="F339" i="32"/>
  <c r="G344" i="32"/>
  <c r="F344" i="32"/>
  <c r="G345" i="32"/>
  <c r="F345" i="32"/>
  <c r="G394" i="32"/>
  <c r="F394" i="32"/>
  <c r="J130" i="32"/>
  <c r="I130" i="32"/>
  <c r="G154" i="32"/>
  <c r="I154" i="32"/>
  <c r="J154" i="32"/>
  <c r="F154" i="32"/>
  <c r="I49" i="32"/>
  <c r="J49" i="32"/>
  <c r="G343" i="32"/>
  <c r="F343" i="32"/>
  <c r="J53" i="32"/>
  <c r="I53" i="32"/>
  <c r="I234" i="32"/>
  <c r="J234" i="32"/>
  <c r="I143" i="32"/>
  <c r="J143" i="32"/>
  <c r="I291" i="32"/>
  <c r="J291" i="32"/>
  <c r="G291" i="32"/>
  <c r="F291" i="32"/>
  <c r="I25" i="32"/>
  <c r="J25" i="32"/>
  <c r="I384" i="32"/>
  <c r="J384" i="32"/>
  <c r="I211" i="32"/>
  <c r="J211" i="32"/>
  <c r="G351" i="32"/>
  <c r="F351" i="32"/>
  <c r="G105" i="32"/>
  <c r="F105" i="32"/>
  <c r="G97" i="32"/>
  <c r="F97" i="32"/>
  <c r="G175" i="32"/>
  <c r="F175" i="32"/>
  <c r="I305" i="32"/>
  <c r="J305" i="32"/>
  <c r="I361" i="32"/>
  <c r="J361" i="32"/>
  <c r="G78" i="32"/>
  <c r="F78" i="32"/>
  <c r="G296" i="32"/>
  <c r="F296" i="32"/>
  <c r="G342" i="32"/>
  <c r="F342" i="32"/>
  <c r="I118" i="32"/>
  <c r="J118" i="32"/>
  <c r="I374" i="32"/>
  <c r="J374" i="32"/>
  <c r="I331" i="32"/>
  <c r="J331" i="32"/>
  <c r="I164" i="32"/>
  <c r="J164" i="32"/>
  <c r="I337" i="32"/>
  <c r="J337" i="32"/>
  <c r="I32" i="32"/>
  <c r="J32" i="32"/>
  <c r="I40" i="32"/>
  <c r="J40" i="32"/>
  <c r="I35" i="32"/>
  <c r="J35" i="32"/>
  <c r="I186" i="32"/>
  <c r="J186" i="32"/>
  <c r="I58" i="32"/>
  <c r="J58" i="32"/>
  <c r="I209" i="32"/>
  <c r="J209" i="32"/>
  <c r="I287" i="32"/>
  <c r="J287" i="32"/>
  <c r="I228" i="32"/>
  <c r="J228" i="32"/>
  <c r="I248" i="32"/>
  <c r="J248" i="32"/>
  <c r="I220" i="32"/>
  <c r="J220" i="32"/>
  <c r="I117" i="32"/>
  <c r="J117" i="32"/>
  <c r="I202" i="32"/>
  <c r="J202" i="32"/>
  <c r="I332" i="32"/>
  <c r="J332" i="32"/>
  <c r="I166" i="32"/>
  <c r="J166" i="32"/>
  <c r="I281" i="32"/>
  <c r="J281" i="32"/>
  <c r="I303" i="32"/>
  <c r="J303" i="32"/>
  <c r="I167" i="32"/>
  <c r="J167" i="32"/>
  <c r="G79" i="32"/>
  <c r="F79" i="32"/>
  <c r="I229" i="32"/>
  <c r="J229" i="32"/>
  <c r="I321" i="32"/>
  <c r="J321" i="32"/>
  <c r="J366" i="32"/>
  <c r="I366" i="32"/>
  <c r="I232" i="32"/>
  <c r="J232" i="32"/>
  <c r="I239" i="32"/>
  <c r="J239" i="32"/>
  <c r="I63" i="32"/>
  <c r="J63" i="32"/>
  <c r="I174" i="32"/>
  <c r="J174" i="32"/>
  <c r="I112" i="32"/>
  <c r="J112" i="32"/>
  <c r="G112" i="32"/>
  <c r="F112" i="32"/>
  <c r="I311" i="32"/>
  <c r="J311" i="32"/>
  <c r="J318" i="32"/>
  <c r="I318" i="32"/>
  <c r="I396" i="32"/>
  <c r="J396" i="32"/>
  <c r="I93" i="32"/>
  <c r="J93" i="32"/>
  <c r="I155" i="32"/>
  <c r="J155" i="32"/>
  <c r="G267" i="32"/>
  <c r="F267" i="32"/>
  <c r="G278" i="32"/>
  <c r="F278" i="32"/>
  <c r="J292" i="32"/>
  <c r="I292" i="32"/>
  <c r="I288" i="32"/>
  <c r="J288" i="32"/>
  <c r="G306" i="32"/>
  <c r="F306" i="32"/>
  <c r="H333" i="32"/>
  <c r="I333" i="32"/>
  <c r="J333" i="32"/>
  <c r="J62" i="32"/>
  <c r="I62" i="32"/>
  <c r="G62" i="32"/>
  <c r="F62" i="32"/>
  <c r="J362" i="32"/>
  <c r="I362" i="32"/>
  <c r="I129" i="32"/>
  <c r="J129" i="32"/>
  <c r="I262" i="32"/>
  <c r="J262" i="32"/>
  <c r="I245" i="32"/>
  <c r="G245" i="32"/>
  <c r="F245" i="32"/>
  <c r="I101" i="32"/>
  <c r="J101" i="32"/>
  <c r="I261" i="32"/>
  <c r="J261" i="32"/>
  <c r="G261" i="32"/>
  <c r="F261" i="32"/>
  <c r="G255" i="32"/>
  <c r="I255" i="32"/>
  <c r="J255" i="32"/>
  <c r="F255" i="32"/>
  <c r="I247" i="32"/>
  <c r="J247" i="32"/>
  <c r="I110" i="32"/>
  <c r="J110" i="32"/>
  <c r="J92" i="32"/>
  <c r="I92" i="32"/>
  <c r="G92" i="32"/>
  <c r="F92" i="32"/>
  <c r="J127" i="32"/>
  <c r="I127" i="32"/>
  <c r="G127" i="32"/>
  <c r="F127" i="32"/>
  <c r="J357" i="32"/>
  <c r="I357" i="32"/>
  <c r="I182" i="32"/>
  <c r="G182" i="32"/>
  <c r="F182" i="32"/>
  <c r="I142" i="32"/>
  <c r="G142" i="32"/>
  <c r="F142" i="32"/>
  <c r="G157" i="32"/>
  <c r="F157" i="32"/>
  <c r="G71" i="32"/>
  <c r="F71" i="32"/>
  <c r="I355" i="32"/>
  <c r="J355" i="32"/>
  <c r="I283" i="32"/>
  <c r="J283" i="32"/>
  <c r="I240" i="32"/>
  <c r="J240" i="32"/>
  <c r="I196" i="32"/>
  <c r="J196" i="32"/>
  <c r="H3" i="32"/>
  <c r="I3" i="32"/>
  <c r="J3" i="32"/>
  <c r="F3" i="32"/>
  <c r="I55" i="32"/>
  <c r="J55" i="32"/>
  <c r="I70" i="32"/>
  <c r="J70" i="32"/>
  <c r="G70" i="32"/>
  <c r="F70" i="32"/>
  <c r="I231" i="32"/>
  <c r="J231" i="32"/>
  <c r="I259" i="32"/>
  <c r="J259" i="32"/>
  <c r="H259" i="32"/>
  <c r="F259" i="32"/>
  <c r="I123" i="32"/>
  <c r="J123" i="32"/>
  <c r="J210" i="32"/>
  <c r="I210" i="32"/>
  <c r="I56" i="32"/>
  <c r="J56" i="32"/>
  <c r="I99" i="32"/>
  <c r="J99" i="32"/>
  <c r="H122" i="32"/>
  <c r="I122" i="32"/>
  <c r="J122" i="32"/>
  <c r="F122" i="32"/>
  <c r="I200" i="32"/>
  <c r="G200" i="32"/>
  <c r="F200" i="32"/>
  <c r="G156" i="32"/>
  <c r="I156" i="32"/>
  <c r="F156" i="32"/>
  <c r="I185" i="32"/>
  <c r="J185" i="32"/>
  <c r="I324" i="32"/>
  <c r="J324" i="32"/>
  <c r="H324" i="32"/>
  <c r="I65" i="32"/>
  <c r="J65" i="32"/>
  <c r="H293" i="32"/>
  <c r="I293" i="32"/>
  <c r="J293" i="32"/>
  <c r="F293" i="32"/>
  <c r="I128" i="32"/>
  <c r="J128" i="32"/>
  <c r="I100" i="32"/>
  <c r="J100" i="32"/>
  <c r="I373" i="32"/>
  <c r="J373" i="32"/>
  <c r="I45" i="32"/>
  <c r="J45" i="32"/>
  <c r="J270" i="32"/>
  <c r="I270" i="32"/>
  <c r="G132" i="32"/>
  <c r="I132" i="32"/>
  <c r="F132" i="32"/>
  <c r="G108" i="32"/>
  <c r="F108" i="32"/>
  <c r="I330" i="32"/>
  <c r="J330" i="32"/>
  <c r="I170" i="32"/>
  <c r="J170" i="32"/>
  <c r="G170" i="32"/>
  <c r="F170" i="32"/>
  <c r="G169" i="32"/>
  <c r="I169" i="32"/>
  <c r="J169" i="32"/>
  <c r="F169" i="32"/>
  <c r="I57" i="32"/>
  <c r="J57" i="32"/>
  <c r="I52" i="32"/>
  <c r="J52" i="32"/>
  <c r="I59" i="32"/>
  <c r="J59" i="32"/>
  <c r="H59" i="32"/>
  <c r="I377" i="32"/>
  <c r="J377" i="32"/>
  <c r="G260" i="32"/>
  <c r="I260" i="32"/>
  <c r="F260" i="32"/>
  <c r="G14" i="32"/>
  <c r="I14" i="32"/>
  <c r="J14" i="32"/>
  <c r="F14" i="32"/>
  <c r="I237" i="32"/>
  <c r="J237" i="32"/>
  <c r="G382" i="32"/>
  <c r="F382" i="32"/>
  <c r="I353" i="32"/>
  <c r="J353" i="32"/>
  <c r="G341" i="32"/>
  <c r="I341" i="32"/>
  <c r="F341" i="32"/>
  <c r="I126" i="32"/>
  <c r="J126" i="32"/>
  <c r="G381" i="32"/>
  <c r="I381" i="32"/>
  <c r="J381" i="32"/>
  <c r="F381" i="32"/>
  <c r="G266" i="32"/>
  <c r="I266" i="32"/>
  <c r="J266" i="32"/>
  <c r="F266" i="32"/>
  <c r="H329" i="32"/>
  <c r="I329" i="32"/>
  <c r="J329" i="32"/>
  <c r="G104" i="32"/>
  <c r="F104" i="32"/>
  <c r="Q64" i="32"/>
  <c r="Q403" i="32"/>
  <c r="P64" i="32"/>
  <c r="P403" i="32"/>
  <c r="O64" i="32"/>
  <c r="G64" i="32"/>
  <c r="I64" i="32"/>
  <c r="F64" i="32"/>
  <c r="G86" i="32"/>
  <c r="I86" i="32"/>
  <c r="J86" i="32"/>
  <c r="F86" i="32"/>
  <c r="G161" i="32"/>
  <c r="I161" i="32"/>
  <c r="F161" i="32"/>
  <c r="G113" i="32"/>
  <c r="I113" i="32"/>
  <c r="F113" i="32"/>
  <c r="J272" i="32"/>
  <c r="I272" i="32"/>
  <c r="G8" i="32"/>
  <c r="I8" i="32"/>
  <c r="J8" i="32"/>
  <c r="F8" i="32"/>
  <c r="I125" i="32"/>
  <c r="J125" i="32"/>
  <c r="G125" i="32"/>
  <c r="F125" i="32"/>
  <c r="I120" i="32"/>
  <c r="J120" i="32"/>
  <c r="G120" i="32"/>
  <c r="F120" i="32"/>
  <c r="I121" i="32"/>
  <c r="J121" i="32"/>
  <c r="G121" i="32"/>
  <c r="F121" i="32"/>
  <c r="I299" i="32"/>
  <c r="J299" i="32"/>
  <c r="I323" i="32"/>
  <c r="J323" i="32"/>
  <c r="I327" i="32"/>
  <c r="J327" i="32"/>
  <c r="H327" i="32"/>
  <c r="G10" i="32"/>
  <c r="I10" i="32"/>
  <c r="F10" i="32"/>
  <c r="G72" i="32"/>
  <c r="F72" i="32"/>
  <c r="I359" i="32"/>
  <c r="J359" i="32"/>
  <c r="I279" i="32"/>
  <c r="J279" i="32"/>
  <c r="G279" i="32"/>
  <c r="F279" i="32"/>
  <c r="I263" i="32"/>
  <c r="J263" i="32"/>
  <c r="G380" i="32"/>
  <c r="F380" i="32"/>
  <c r="G274" i="32"/>
  <c r="I274" i="32"/>
  <c r="F274" i="32"/>
  <c r="G138" i="32"/>
  <c r="F138" i="32"/>
  <c r="I322" i="32"/>
  <c r="J322" i="32"/>
  <c r="I135" i="32"/>
  <c r="J135" i="32"/>
  <c r="I391" i="32"/>
  <c r="J391" i="32"/>
  <c r="I386" i="32"/>
  <c r="J386" i="32"/>
  <c r="H386" i="32"/>
  <c r="F386" i="32"/>
  <c r="I393" i="32"/>
  <c r="J393" i="32"/>
  <c r="G393" i="32"/>
  <c r="F393" i="32"/>
  <c r="I243" i="32"/>
  <c r="J243" i="32"/>
  <c r="I208" i="32"/>
  <c r="J208" i="32"/>
  <c r="I207" i="32"/>
  <c r="J207" i="32"/>
  <c r="I204" i="32"/>
  <c r="J204" i="32"/>
  <c r="I233" i="32"/>
  <c r="J233" i="32"/>
  <c r="I119" i="32"/>
  <c r="G119" i="32"/>
  <c r="F119" i="32"/>
  <c r="I31" i="32"/>
  <c r="J31" i="32"/>
  <c r="I34" i="32"/>
  <c r="J34" i="32"/>
  <c r="I21" i="32"/>
  <c r="J21" i="32"/>
  <c r="I47" i="32"/>
  <c r="J47" i="32"/>
  <c r="I20" i="32"/>
  <c r="J20" i="32"/>
  <c r="I30" i="32"/>
  <c r="J30" i="32"/>
  <c r="I29" i="32"/>
  <c r="J29" i="32"/>
  <c r="I395" i="32"/>
  <c r="J395" i="32"/>
  <c r="I26" i="32"/>
  <c r="J26" i="32"/>
  <c r="J179" i="32"/>
  <c r="I179" i="32"/>
  <c r="I134" i="32"/>
  <c r="J134" i="32"/>
  <c r="O398" i="32"/>
  <c r="H398" i="32"/>
  <c r="F398" i="32"/>
  <c r="G400" i="32"/>
  <c r="I400" i="32"/>
  <c r="F400" i="32"/>
  <c r="G144" i="32"/>
  <c r="I144" i="32"/>
  <c r="F144" i="32"/>
  <c r="G98" i="32"/>
  <c r="I98" i="32"/>
  <c r="F98" i="32"/>
  <c r="J44" i="32"/>
  <c r="I44" i="32"/>
  <c r="I28" i="32"/>
  <c r="J28" i="32"/>
  <c r="G146" i="32"/>
  <c r="F146" i="32"/>
  <c r="I133" i="32"/>
  <c r="J133" i="32"/>
  <c r="I401" i="29"/>
  <c r="J401" i="29"/>
  <c r="G401" i="29"/>
  <c r="F401" i="29"/>
  <c r="I400" i="29"/>
  <c r="J400" i="29"/>
  <c r="G396" i="29"/>
  <c r="F396" i="29"/>
  <c r="G395" i="29"/>
  <c r="I395" i="29"/>
  <c r="J395" i="29"/>
  <c r="F395" i="29"/>
  <c r="G394" i="29"/>
  <c r="I394" i="29"/>
  <c r="J394" i="29"/>
  <c r="F394" i="29"/>
  <c r="G393" i="29"/>
  <c r="I393" i="29"/>
  <c r="J393" i="29"/>
  <c r="F393" i="29"/>
  <c r="G392" i="29"/>
  <c r="I392" i="29"/>
  <c r="F392" i="29"/>
  <c r="G390" i="29"/>
  <c r="I390" i="29"/>
  <c r="J390" i="29"/>
  <c r="F390" i="29"/>
  <c r="I391" i="29"/>
  <c r="J391" i="29"/>
  <c r="I397" i="29"/>
  <c r="J397" i="29"/>
  <c r="I398" i="29"/>
  <c r="J398" i="29"/>
  <c r="I399" i="29"/>
  <c r="J399" i="29"/>
  <c r="G389" i="29"/>
  <c r="I389" i="29"/>
  <c r="J389" i="29"/>
  <c r="F389" i="29"/>
  <c r="G388" i="29"/>
  <c r="I388" i="29"/>
  <c r="F388" i="29"/>
  <c r="G385" i="29"/>
  <c r="I385" i="29"/>
  <c r="J385" i="29"/>
  <c r="F385" i="29"/>
  <c r="I384" i="29"/>
  <c r="J384" i="29"/>
  <c r="I386" i="29"/>
  <c r="J386" i="29"/>
  <c r="I387" i="29"/>
  <c r="J387" i="29"/>
  <c r="G384" i="29"/>
  <c r="F384" i="29"/>
  <c r="I383" i="29"/>
  <c r="J383" i="29"/>
  <c r="I382" i="29"/>
  <c r="J382" i="29"/>
  <c r="G379" i="29"/>
  <c r="I379" i="29"/>
  <c r="J379" i="29"/>
  <c r="F379" i="29"/>
  <c r="I377" i="29"/>
  <c r="J377" i="29"/>
  <c r="I378" i="29"/>
  <c r="J378" i="29"/>
  <c r="I380" i="29"/>
  <c r="J380" i="29"/>
  <c r="I381" i="29"/>
  <c r="J381" i="29"/>
  <c r="G376" i="29"/>
  <c r="F376" i="29"/>
  <c r="I375" i="29"/>
  <c r="J375" i="29"/>
  <c r="I376" i="29"/>
  <c r="H374" i="29"/>
  <c r="I374" i="29"/>
  <c r="J374" i="29"/>
  <c r="I373" i="29"/>
  <c r="J373" i="29"/>
  <c r="G372" i="29"/>
  <c r="I372" i="29"/>
  <c r="J372" i="29"/>
  <c r="F372" i="29"/>
  <c r="G371" i="29"/>
  <c r="I371" i="29"/>
  <c r="J371" i="29"/>
  <c r="F371" i="29"/>
  <c r="G370" i="29"/>
  <c r="I370" i="29"/>
  <c r="J370" i="29"/>
  <c r="F370" i="29"/>
  <c r="G367" i="29"/>
  <c r="I367" i="29"/>
  <c r="J367" i="29"/>
  <c r="F367" i="29"/>
  <c r="G366" i="29"/>
  <c r="I366" i="29"/>
  <c r="J366" i="29"/>
  <c r="F366" i="29"/>
  <c r="H365" i="29"/>
  <c r="I365" i="29"/>
  <c r="J365" i="29"/>
  <c r="F365" i="29"/>
  <c r="I368" i="29"/>
  <c r="J368" i="29"/>
  <c r="I369" i="29"/>
  <c r="J369" i="29"/>
  <c r="H363" i="29"/>
  <c r="I363" i="29"/>
  <c r="J363" i="29"/>
  <c r="F363" i="29"/>
  <c r="G362" i="29"/>
  <c r="I362" i="29"/>
  <c r="F362" i="29"/>
  <c r="I360" i="29"/>
  <c r="I361" i="29"/>
  <c r="J361" i="29"/>
  <c r="I364" i="29"/>
  <c r="J364" i="29"/>
  <c r="G360" i="29"/>
  <c r="J360" i="29"/>
  <c r="F360" i="29"/>
  <c r="G357" i="29"/>
  <c r="J357" i="29"/>
  <c r="F357" i="29"/>
  <c r="G356" i="29"/>
  <c r="I356" i="29"/>
  <c r="F356" i="29"/>
  <c r="I357" i="29"/>
  <c r="I358" i="29"/>
  <c r="J358" i="29"/>
  <c r="I359" i="29"/>
  <c r="J359" i="29"/>
  <c r="I355" i="29"/>
  <c r="J355" i="29"/>
  <c r="F353" i="29"/>
  <c r="G344" i="29"/>
  <c r="J344" i="29"/>
  <c r="F344" i="29"/>
  <c r="G353" i="29"/>
  <c r="I353" i="29"/>
  <c r="J353" i="29"/>
  <c r="G352" i="29"/>
  <c r="F352" i="29"/>
  <c r="G349" i="29"/>
  <c r="I349" i="29"/>
  <c r="J349" i="29"/>
  <c r="F349" i="29"/>
  <c r="G348" i="29"/>
  <c r="I348" i="29"/>
  <c r="J348" i="29"/>
  <c r="F348" i="29"/>
  <c r="G347" i="29"/>
  <c r="I347" i="29"/>
  <c r="J347" i="29"/>
  <c r="F347" i="29"/>
  <c r="G345" i="29"/>
  <c r="F345" i="29"/>
  <c r="G343" i="29"/>
  <c r="I343" i="29"/>
  <c r="J343" i="29"/>
  <c r="F343" i="29"/>
  <c r="G342" i="29"/>
  <c r="I342" i="29"/>
  <c r="J342" i="29"/>
  <c r="F342" i="29"/>
  <c r="I344" i="29"/>
  <c r="I345" i="29"/>
  <c r="J345" i="29"/>
  <c r="I346" i="29"/>
  <c r="J346" i="29"/>
  <c r="I350" i="29"/>
  <c r="J350" i="29"/>
  <c r="I351" i="29"/>
  <c r="J351" i="29"/>
  <c r="I352" i="29"/>
  <c r="J352" i="29"/>
  <c r="I354" i="29"/>
  <c r="J354" i="29"/>
  <c r="I341" i="29"/>
  <c r="J341" i="29"/>
  <c r="G339" i="29"/>
  <c r="I339" i="29"/>
  <c r="J339" i="29"/>
  <c r="F339" i="29"/>
  <c r="I337" i="29"/>
  <c r="J337" i="29"/>
  <c r="I338" i="29"/>
  <c r="J338" i="29"/>
  <c r="I340" i="29"/>
  <c r="J340" i="29"/>
  <c r="G336" i="29"/>
  <c r="I336" i="29"/>
  <c r="J336" i="29"/>
  <c r="F336" i="29"/>
  <c r="G332" i="29"/>
  <c r="I332" i="29"/>
  <c r="J332" i="29"/>
  <c r="F332" i="29"/>
  <c r="H331" i="29"/>
  <c r="I331" i="29"/>
  <c r="J331" i="29"/>
  <c r="F331" i="29"/>
  <c r="G327" i="29"/>
  <c r="I327" i="29"/>
  <c r="J327" i="29"/>
  <c r="F327" i="29"/>
  <c r="I328" i="29"/>
  <c r="J328" i="29"/>
  <c r="I329" i="29"/>
  <c r="J329" i="29"/>
  <c r="I330" i="29"/>
  <c r="J330" i="29"/>
  <c r="I333" i="29"/>
  <c r="J333" i="29"/>
  <c r="I334" i="29"/>
  <c r="J334" i="29"/>
  <c r="I335" i="29"/>
  <c r="J335" i="29"/>
  <c r="G325" i="29"/>
  <c r="F325" i="29"/>
  <c r="G324" i="29"/>
  <c r="I324" i="29"/>
  <c r="J324" i="29"/>
  <c r="F324" i="29"/>
  <c r="F322" i="29"/>
  <c r="G322" i="29"/>
  <c r="I322" i="29"/>
  <c r="J322" i="29"/>
  <c r="G321" i="29"/>
  <c r="I321" i="29"/>
  <c r="J321" i="29"/>
  <c r="F321" i="29"/>
  <c r="H320" i="29"/>
  <c r="I320" i="29"/>
  <c r="J320" i="29"/>
  <c r="F320" i="29"/>
  <c r="R403" i="29"/>
  <c r="G318" i="29"/>
  <c r="F318" i="29"/>
  <c r="G317" i="29"/>
  <c r="I317" i="29"/>
  <c r="F317" i="29"/>
  <c r="G314" i="29"/>
  <c r="I314" i="29"/>
  <c r="J314" i="29"/>
  <c r="F314" i="29"/>
  <c r="I315" i="29"/>
  <c r="J315" i="29"/>
  <c r="I316" i="29"/>
  <c r="J316" i="29"/>
  <c r="I318" i="29"/>
  <c r="J318" i="29"/>
  <c r="I319" i="29"/>
  <c r="J319" i="29"/>
  <c r="I323" i="29"/>
  <c r="J323" i="29"/>
  <c r="I325" i="29"/>
  <c r="J325" i="29"/>
  <c r="I326" i="29"/>
  <c r="J326" i="29"/>
  <c r="G313" i="29"/>
  <c r="F313" i="29"/>
  <c r="H311" i="29"/>
  <c r="I311" i="29"/>
  <c r="J311" i="29"/>
  <c r="F311" i="29"/>
  <c r="I310" i="29"/>
  <c r="J310" i="29"/>
  <c r="I312" i="29"/>
  <c r="J312" i="29"/>
  <c r="S403" i="29"/>
  <c r="T403" i="29"/>
  <c r="I306" i="29"/>
  <c r="J306" i="29"/>
  <c r="I307" i="29"/>
  <c r="J307" i="29"/>
  <c r="I308" i="29"/>
  <c r="J308" i="29"/>
  <c r="I309" i="29"/>
  <c r="J309" i="29"/>
  <c r="H305" i="29"/>
  <c r="I305" i="29"/>
  <c r="J305" i="29"/>
  <c r="F305" i="29"/>
  <c r="H303" i="29"/>
  <c r="I303" i="29"/>
  <c r="J303" i="29"/>
  <c r="I304" i="29"/>
  <c r="J304" i="29"/>
  <c r="G302" i="29"/>
  <c r="I302" i="29"/>
  <c r="J302" i="29"/>
  <c r="F302" i="29"/>
  <c r="G300" i="29"/>
  <c r="I300" i="29"/>
  <c r="J300" i="29"/>
  <c r="F300" i="29"/>
  <c r="I299" i="29"/>
  <c r="J299" i="29"/>
  <c r="I301" i="29"/>
  <c r="J301" i="29"/>
  <c r="H299" i="29"/>
  <c r="F299" i="29"/>
  <c r="H298" i="29"/>
  <c r="F298" i="29"/>
  <c r="G297" i="29"/>
  <c r="F297" i="29"/>
  <c r="I297" i="29"/>
  <c r="J297" i="29"/>
  <c r="I298" i="29"/>
  <c r="J298" i="29"/>
  <c r="G296" i="29"/>
  <c r="I296" i="29"/>
  <c r="J296" i="29"/>
  <c r="F296" i="29"/>
  <c r="I295" i="29"/>
  <c r="J295" i="29"/>
  <c r="H292" i="29"/>
  <c r="F292" i="29"/>
  <c r="G291" i="29"/>
  <c r="F291" i="29"/>
  <c r="I292" i="29"/>
  <c r="J292" i="29"/>
  <c r="I293" i="29"/>
  <c r="J293" i="29"/>
  <c r="I294" i="29"/>
  <c r="J294" i="29"/>
  <c r="G290" i="29"/>
  <c r="I290" i="29"/>
  <c r="J290" i="29"/>
  <c r="F290" i="29"/>
  <c r="G289" i="29"/>
  <c r="F289" i="29"/>
  <c r="I288" i="29"/>
  <c r="J288" i="29"/>
  <c r="I289" i="29"/>
  <c r="J289" i="29"/>
  <c r="I287" i="29"/>
  <c r="J287" i="29"/>
  <c r="G285" i="29"/>
  <c r="I285" i="29"/>
  <c r="J285" i="29"/>
  <c r="F285" i="29"/>
  <c r="I284" i="29"/>
  <c r="J284" i="29"/>
  <c r="I286" i="29"/>
  <c r="J286" i="29"/>
  <c r="H283" i="29"/>
  <c r="I283" i="29"/>
  <c r="J283" i="29"/>
  <c r="F283" i="29"/>
  <c r="H282" i="29"/>
  <c r="G278" i="29"/>
  <c r="F278" i="29"/>
  <c r="I277" i="29"/>
  <c r="J277" i="29"/>
  <c r="I278" i="29"/>
  <c r="J278" i="29"/>
  <c r="I279" i="29"/>
  <c r="J279" i="29"/>
  <c r="I280" i="29"/>
  <c r="J280" i="29"/>
  <c r="I281" i="29"/>
  <c r="J281" i="29"/>
  <c r="I282" i="29"/>
  <c r="J282" i="29"/>
  <c r="G276" i="29"/>
  <c r="I276" i="29"/>
  <c r="J276" i="29"/>
  <c r="F276" i="29"/>
  <c r="G274" i="29"/>
  <c r="J274" i="29"/>
  <c r="F274" i="29"/>
  <c r="I273" i="29"/>
  <c r="J273" i="29"/>
  <c r="I274" i="29"/>
  <c r="I275" i="29"/>
  <c r="J275" i="29"/>
  <c r="I272" i="29"/>
  <c r="J272" i="29"/>
  <c r="I271" i="29"/>
  <c r="J271" i="29"/>
  <c r="I270" i="29"/>
  <c r="J270" i="29"/>
  <c r="I258" i="29"/>
  <c r="J258" i="29"/>
  <c r="I259" i="29"/>
  <c r="J259" i="29"/>
  <c r="I260" i="29"/>
  <c r="J260" i="29"/>
  <c r="I261" i="29"/>
  <c r="J261" i="29"/>
  <c r="I262" i="29"/>
  <c r="J262" i="29"/>
  <c r="I263" i="29"/>
  <c r="J263" i="29"/>
  <c r="I264" i="29"/>
  <c r="J264" i="29"/>
  <c r="I265" i="29"/>
  <c r="J265" i="29"/>
  <c r="I266" i="29"/>
  <c r="J266" i="29"/>
  <c r="I267" i="29"/>
  <c r="J267" i="29"/>
  <c r="I268" i="29"/>
  <c r="J268" i="29"/>
  <c r="I269" i="29"/>
  <c r="J269" i="29"/>
  <c r="I257" i="29"/>
  <c r="J257" i="29"/>
  <c r="H247" i="29"/>
  <c r="I247" i="29"/>
  <c r="J247" i="29"/>
  <c r="F247" i="29"/>
  <c r="I244" i="29"/>
  <c r="J244" i="29"/>
  <c r="I245" i="29"/>
  <c r="J245" i="29"/>
  <c r="I246" i="29"/>
  <c r="J246" i="29"/>
  <c r="I248" i="29"/>
  <c r="J248" i="29"/>
  <c r="I249" i="29"/>
  <c r="J249" i="29"/>
  <c r="I250" i="29"/>
  <c r="J250" i="29"/>
  <c r="I251" i="29"/>
  <c r="J251" i="29"/>
  <c r="I252" i="29"/>
  <c r="J252" i="29"/>
  <c r="I253" i="29"/>
  <c r="J253" i="29"/>
  <c r="I254" i="29"/>
  <c r="J254" i="29"/>
  <c r="I255" i="29"/>
  <c r="J255" i="29"/>
  <c r="I256" i="29"/>
  <c r="J256" i="29"/>
  <c r="G243" i="29"/>
  <c r="I243" i="29"/>
  <c r="J243" i="29"/>
  <c r="F243" i="29"/>
  <c r="G241" i="29"/>
  <c r="F241" i="29"/>
  <c r="G240" i="29"/>
  <c r="F240" i="29"/>
  <c r="G237" i="29"/>
  <c r="F237" i="29"/>
  <c r="I238" i="29"/>
  <c r="J238" i="29"/>
  <c r="I239" i="29"/>
  <c r="J239" i="29"/>
  <c r="I242" i="29"/>
  <c r="J242" i="29"/>
  <c r="I236" i="29"/>
  <c r="J236" i="29"/>
  <c r="G234" i="29"/>
  <c r="F234" i="29"/>
  <c r="I230" i="29"/>
  <c r="J230" i="29"/>
  <c r="I231" i="29"/>
  <c r="J231" i="29"/>
  <c r="I232" i="29"/>
  <c r="J232" i="29"/>
  <c r="I233" i="29"/>
  <c r="J233" i="29"/>
  <c r="I235" i="29"/>
  <c r="J235" i="29"/>
  <c r="G225" i="29"/>
  <c r="I225" i="29"/>
  <c r="J225" i="29"/>
  <c r="F225" i="29"/>
  <c r="F222" i="29"/>
  <c r="G222" i="29"/>
  <c r="I222" i="29"/>
  <c r="J222" i="29"/>
  <c r="G219" i="29"/>
  <c r="F218" i="29"/>
  <c r="G218" i="29"/>
  <c r="I218" i="29"/>
  <c r="J218" i="29"/>
  <c r="I217" i="29"/>
  <c r="J217" i="29"/>
  <c r="I220" i="29"/>
  <c r="J220" i="29"/>
  <c r="I221" i="29"/>
  <c r="J221" i="29"/>
  <c r="I223" i="29"/>
  <c r="J223" i="29"/>
  <c r="I224" i="29"/>
  <c r="J224" i="29"/>
  <c r="I226" i="29"/>
  <c r="J226" i="29"/>
  <c r="I227" i="29"/>
  <c r="J227" i="29"/>
  <c r="I228" i="29"/>
  <c r="J228" i="29"/>
  <c r="I229" i="29"/>
  <c r="J229" i="29"/>
  <c r="G216" i="29"/>
  <c r="I216" i="29"/>
  <c r="J216" i="29"/>
  <c r="G211" i="29"/>
  <c r="I211" i="29"/>
  <c r="J211" i="29"/>
  <c r="F211" i="29"/>
  <c r="G210" i="29"/>
  <c r="I210" i="29"/>
  <c r="J210" i="29"/>
  <c r="F210" i="29"/>
  <c r="G206" i="29"/>
  <c r="F206" i="29"/>
  <c r="I200" i="29"/>
  <c r="J200" i="29"/>
  <c r="I201" i="29"/>
  <c r="J201" i="29"/>
  <c r="I202" i="29"/>
  <c r="J202" i="29"/>
  <c r="I203" i="29"/>
  <c r="J203" i="29"/>
  <c r="I204" i="29"/>
  <c r="J204" i="29"/>
  <c r="I205" i="29"/>
  <c r="J205" i="29"/>
  <c r="I206" i="29"/>
  <c r="J206" i="29"/>
  <c r="I207" i="29"/>
  <c r="J207" i="29"/>
  <c r="I208" i="29"/>
  <c r="J208" i="29"/>
  <c r="I209" i="29"/>
  <c r="J209" i="29"/>
  <c r="I212" i="29"/>
  <c r="J212" i="29"/>
  <c r="I213" i="29"/>
  <c r="J213" i="29"/>
  <c r="I214" i="29"/>
  <c r="J214" i="29"/>
  <c r="I215" i="29"/>
  <c r="J215" i="29"/>
  <c r="G199" i="29"/>
  <c r="F199" i="29"/>
  <c r="I198" i="29"/>
  <c r="J198" i="29"/>
  <c r="I197" i="29"/>
  <c r="J197" i="29"/>
  <c r="G192" i="29"/>
  <c r="I192" i="29"/>
  <c r="J192" i="29"/>
  <c r="F192" i="29"/>
  <c r="I193" i="29"/>
  <c r="J193" i="29"/>
  <c r="I194" i="29"/>
  <c r="J194" i="29"/>
  <c r="I195" i="29"/>
  <c r="J195" i="29"/>
  <c r="I196" i="29"/>
  <c r="J196" i="29"/>
  <c r="I191" i="29"/>
  <c r="J191" i="29"/>
  <c r="G189" i="29"/>
  <c r="F189" i="29"/>
  <c r="I188" i="29"/>
  <c r="J188" i="29"/>
  <c r="I189" i="29"/>
  <c r="J189" i="29"/>
  <c r="I190" i="29"/>
  <c r="J190" i="29"/>
  <c r="G187" i="29"/>
  <c r="I187" i="29"/>
  <c r="F187" i="29"/>
  <c r="G186" i="29"/>
  <c r="I186" i="29"/>
  <c r="J186" i="29"/>
  <c r="F186" i="29"/>
  <c r="I185" i="29"/>
  <c r="J185" i="29"/>
  <c r="I184" i="29"/>
  <c r="J184" i="29"/>
  <c r="G181" i="29"/>
  <c r="I181" i="29"/>
  <c r="J181" i="29"/>
  <c r="F181" i="29"/>
  <c r="G180" i="29"/>
  <c r="I180" i="29"/>
  <c r="F180" i="29"/>
  <c r="G179" i="29"/>
  <c r="F179" i="29"/>
  <c r="G178" i="29"/>
  <c r="I178" i="29"/>
  <c r="F178" i="29"/>
  <c r="G177" i="29"/>
  <c r="I177" i="29"/>
  <c r="J177" i="29"/>
  <c r="F177" i="29"/>
  <c r="G175" i="29"/>
  <c r="F175" i="29"/>
  <c r="I174" i="29"/>
  <c r="J174" i="29"/>
  <c r="I176" i="29"/>
  <c r="J176" i="29"/>
  <c r="I182" i="29"/>
  <c r="J182" i="29"/>
  <c r="I183" i="29"/>
  <c r="J183" i="29"/>
  <c r="G173" i="29"/>
  <c r="I173" i="29"/>
  <c r="J173" i="29"/>
  <c r="F173" i="29"/>
  <c r="G169" i="29"/>
  <c r="I169" i="29"/>
  <c r="J169" i="29"/>
  <c r="F169" i="29"/>
  <c r="I166" i="29"/>
  <c r="J166" i="29"/>
  <c r="I167" i="29"/>
  <c r="J167" i="29"/>
  <c r="I168" i="29"/>
  <c r="J168" i="29"/>
  <c r="I170" i="29"/>
  <c r="J170" i="29"/>
  <c r="I171" i="29"/>
  <c r="J171" i="29"/>
  <c r="I172" i="29"/>
  <c r="J172" i="29"/>
  <c r="G165" i="29"/>
  <c r="F165" i="29"/>
  <c r="G164" i="29"/>
  <c r="F164" i="29"/>
  <c r="G163" i="29"/>
  <c r="F163" i="29"/>
  <c r="G162" i="29"/>
  <c r="F162" i="29"/>
  <c r="G159" i="29"/>
  <c r="I159" i="29"/>
  <c r="J159" i="29"/>
  <c r="F159" i="29"/>
  <c r="G158" i="29"/>
  <c r="I158" i="29"/>
  <c r="J158" i="29"/>
  <c r="F158" i="29"/>
  <c r="I160" i="29"/>
  <c r="J160" i="29"/>
  <c r="I161" i="29"/>
  <c r="J161" i="29"/>
  <c r="I164" i="29"/>
  <c r="J164" i="29"/>
  <c r="G157" i="29"/>
  <c r="I157" i="29"/>
  <c r="J157" i="29"/>
  <c r="F157" i="29"/>
  <c r="I143" i="29"/>
  <c r="J143" i="29"/>
  <c r="I144" i="29"/>
  <c r="J144" i="29"/>
  <c r="I145" i="29"/>
  <c r="J145" i="29"/>
  <c r="I146" i="29"/>
  <c r="J146" i="29"/>
  <c r="I147" i="29"/>
  <c r="J147" i="29"/>
  <c r="I148" i="29"/>
  <c r="J148" i="29"/>
  <c r="I149" i="29"/>
  <c r="J149" i="29"/>
  <c r="I150" i="29"/>
  <c r="J150" i="29"/>
  <c r="I151" i="29"/>
  <c r="J151" i="29"/>
  <c r="I152" i="29"/>
  <c r="J152" i="29"/>
  <c r="I153" i="29"/>
  <c r="J153" i="29"/>
  <c r="I154" i="29"/>
  <c r="J154" i="29"/>
  <c r="I155" i="29"/>
  <c r="J155" i="29"/>
  <c r="I156" i="29"/>
  <c r="J156" i="29"/>
  <c r="I139" i="29"/>
  <c r="J139" i="29"/>
  <c r="I140" i="29"/>
  <c r="J140" i="29"/>
  <c r="I141" i="29"/>
  <c r="J141" i="29"/>
  <c r="I142" i="29"/>
  <c r="J142" i="29"/>
  <c r="I137" i="29"/>
  <c r="J137" i="29"/>
  <c r="I135" i="29"/>
  <c r="J135" i="29"/>
  <c r="I136" i="29"/>
  <c r="J136" i="29"/>
  <c r="G133" i="29"/>
  <c r="I133" i="29"/>
  <c r="J133" i="29"/>
  <c r="F133" i="29"/>
  <c r="I129" i="29"/>
  <c r="J129" i="29"/>
  <c r="I130" i="29"/>
  <c r="J130" i="29"/>
  <c r="I131" i="29"/>
  <c r="J131" i="29"/>
  <c r="I132" i="29"/>
  <c r="J132" i="29"/>
  <c r="I134" i="29"/>
  <c r="J134" i="29"/>
  <c r="I128" i="29"/>
  <c r="J128" i="29"/>
  <c r="G125" i="29"/>
  <c r="F125" i="29"/>
  <c r="I125" i="29"/>
  <c r="J125" i="29"/>
  <c r="I126" i="29"/>
  <c r="J126" i="29"/>
  <c r="I127" i="29"/>
  <c r="J127" i="29"/>
  <c r="I120" i="29"/>
  <c r="J120" i="29"/>
  <c r="I121" i="29"/>
  <c r="J121" i="29"/>
  <c r="I122" i="29"/>
  <c r="J122" i="29"/>
  <c r="I123" i="29"/>
  <c r="J123" i="29"/>
  <c r="I124" i="29"/>
  <c r="J124" i="29"/>
  <c r="G119" i="29"/>
  <c r="I119" i="29"/>
  <c r="J119" i="29"/>
  <c r="F119" i="29"/>
  <c r="G118" i="29"/>
  <c r="I118" i="29"/>
  <c r="J118" i="29"/>
  <c r="F118" i="29"/>
  <c r="G115" i="29"/>
  <c r="F115" i="29"/>
  <c r="H114" i="29"/>
  <c r="I114" i="29"/>
  <c r="J114" i="29"/>
  <c r="G113" i="29"/>
  <c r="F113" i="29"/>
  <c r="G109" i="29"/>
  <c r="F109" i="29"/>
  <c r="G107" i="29"/>
  <c r="I107" i="29"/>
  <c r="J107" i="29"/>
  <c r="F107" i="29"/>
  <c r="G106" i="29"/>
  <c r="I106" i="29"/>
  <c r="J106" i="29"/>
  <c r="F106" i="29"/>
  <c r="G103" i="29"/>
  <c r="I103" i="29"/>
  <c r="J103" i="29"/>
  <c r="F103" i="29"/>
  <c r="G102" i="29"/>
  <c r="I102" i="29"/>
  <c r="J102" i="29"/>
  <c r="F102" i="29"/>
  <c r="G100" i="29"/>
  <c r="I100" i="29"/>
  <c r="J100" i="29"/>
  <c r="F100" i="29"/>
  <c r="G99" i="29"/>
  <c r="F99" i="29"/>
  <c r="G98" i="29"/>
  <c r="I98" i="29"/>
  <c r="J98" i="29"/>
  <c r="F98" i="29"/>
  <c r="G97" i="29"/>
  <c r="F97" i="29"/>
  <c r="H92" i="29"/>
  <c r="I92" i="29"/>
  <c r="J92" i="29"/>
  <c r="F92" i="29"/>
  <c r="G90" i="29"/>
  <c r="I90" i="29"/>
  <c r="J90" i="29"/>
  <c r="F90" i="29"/>
  <c r="H88" i="29"/>
  <c r="I88" i="29"/>
  <c r="J88" i="29"/>
  <c r="F88" i="29"/>
  <c r="H83" i="29"/>
  <c r="F83" i="29"/>
  <c r="G82" i="29"/>
  <c r="I82" i="29"/>
  <c r="F82" i="29"/>
  <c r="G81" i="29"/>
  <c r="I81" i="29"/>
  <c r="J81" i="29"/>
  <c r="F81" i="29"/>
  <c r="H79" i="29"/>
  <c r="I79" i="29"/>
  <c r="J79" i="29"/>
  <c r="H77" i="29"/>
  <c r="F77" i="29"/>
  <c r="G71" i="29"/>
  <c r="J71" i="29"/>
  <c r="I71" i="29"/>
  <c r="F71" i="29"/>
  <c r="G70" i="29"/>
  <c r="F70" i="29"/>
  <c r="G68" i="29"/>
  <c r="F68" i="29"/>
  <c r="G67" i="29"/>
  <c r="F67" i="29"/>
  <c r="H64" i="29"/>
  <c r="I64" i="29"/>
  <c r="J64" i="29"/>
  <c r="G62" i="29"/>
  <c r="F62" i="29"/>
  <c r="G61" i="29"/>
  <c r="I61" i="29"/>
  <c r="J61" i="29"/>
  <c r="F61" i="29"/>
  <c r="G59" i="29"/>
  <c r="I59" i="29"/>
  <c r="J59" i="29"/>
  <c r="F59" i="29"/>
  <c r="G57" i="29"/>
  <c r="I57" i="29"/>
  <c r="J57" i="29"/>
  <c r="F57" i="29"/>
  <c r="G55" i="29"/>
  <c r="I55" i="29"/>
  <c r="J55" i="29"/>
  <c r="F55" i="29"/>
  <c r="G54" i="29"/>
  <c r="I54" i="29"/>
  <c r="J54" i="29"/>
  <c r="F54" i="29"/>
  <c r="H53" i="29"/>
  <c r="I53" i="29"/>
  <c r="J53" i="29"/>
  <c r="G52" i="29"/>
  <c r="I52" i="29"/>
  <c r="J52" i="29"/>
  <c r="F52" i="29"/>
  <c r="G51" i="29"/>
  <c r="I51" i="29"/>
  <c r="J51" i="29"/>
  <c r="F51" i="29"/>
  <c r="P51" i="29"/>
  <c r="P403" i="29"/>
  <c r="Q51" i="29"/>
  <c r="Q403" i="29"/>
  <c r="O51" i="29"/>
  <c r="G50" i="29"/>
  <c r="I50" i="29"/>
  <c r="J50" i="29"/>
  <c r="F50" i="29"/>
  <c r="G49" i="29"/>
  <c r="I49" i="29"/>
  <c r="J49" i="29"/>
  <c r="F49" i="29"/>
  <c r="G48" i="29"/>
  <c r="I48" i="29"/>
  <c r="J48" i="29"/>
  <c r="F48" i="29"/>
  <c r="G46" i="29"/>
  <c r="F46" i="29"/>
  <c r="G45" i="29"/>
  <c r="F45" i="29"/>
  <c r="G44" i="29"/>
  <c r="F44" i="29"/>
  <c r="G43" i="29"/>
  <c r="F43" i="29"/>
  <c r="I41" i="29"/>
  <c r="J41" i="29"/>
  <c r="I42" i="29"/>
  <c r="J42" i="29"/>
  <c r="I47" i="29"/>
  <c r="J47" i="29"/>
  <c r="I56" i="29"/>
  <c r="J56" i="29"/>
  <c r="I58" i="29"/>
  <c r="J58" i="29"/>
  <c r="I60" i="29"/>
  <c r="J60" i="29"/>
  <c r="I63" i="29"/>
  <c r="J63" i="29"/>
  <c r="I65" i="29"/>
  <c r="J65" i="29"/>
  <c r="I66" i="29"/>
  <c r="J66" i="29"/>
  <c r="I69" i="29"/>
  <c r="J69" i="29"/>
  <c r="H40" i="29"/>
  <c r="I40" i="29"/>
  <c r="J40" i="29"/>
  <c r="G39" i="29"/>
  <c r="F39" i="29"/>
  <c r="G38" i="29"/>
  <c r="I38" i="29"/>
  <c r="J38" i="29"/>
  <c r="F38" i="29"/>
  <c r="F36" i="29"/>
  <c r="G36" i="29"/>
  <c r="I36" i="29"/>
  <c r="J36" i="29"/>
  <c r="G34" i="29"/>
  <c r="F34" i="29"/>
  <c r="G33" i="29"/>
  <c r="F33" i="29"/>
  <c r="G32" i="29"/>
  <c r="F32" i="29"/>
  <c r="H28" i="29"/>
  <c r="I28" i="29"/>
  <c r="J28" i="29"/>
  <c r="F28" i="29"/>
  <c r="G27" i="29"/>
  <c r="I27" i="29"/>
  <c r="J27" i="29"/>
  <c r="F27" i="29"/>
  <c r="G21" i="29"/>
  <c r="I21" i="29"/>
  <c r="J21" i="29"/>
  <c r="F21" i="29"/>
  <c r="F9" i="29"/>
  <c r="H9" i="29"/>
  <c r="I9" i="29"/>
  <c r="J9" i="29"/>
  <c r="O9" i="29"/>
  <c r="O403" i="29"/>
  <c r="G8" i="29"/>
  <c r="I8" i="29"/>
  <c r="J8" i="29"/>
  <c r="F8" i="29"/>
  <c r="G7" i="29"/>
  <c r="I7" i="29"/>
  <c r="J7" i="29"/>
  <c r="F7" i="29"/>
  <c r="G6" i="29"/>
  <c r="I6" i="29"/>
  <c r="J6" i="29"/>
  <c r="F6" i="29"/>
  <c r="F403" i="29"/>
  <c r="G3" i="29"/>
  <c r="I3" i="29"/>
  <c r="J3" i="29"/>
  <c r="F3" i="29"/>
  <c r="I10" i="29"/>
  <c r="J10" i="29"/>
  <c r="I11" i="29"/>
  <c r="J11" i="29"/>
  <c r="I12" i="29"/>
  <c r="J12" i="29"/>
  <c r="I14" i="29"/>
  <c r="J14" i="29"/>
  <c r="I17" i="29"/>
  <c r="J17" i="29"/>
  <c r="I18" i="29"/>
  <c r="J18" i="29"/>
  <c r="I19" i="29"/>
  <c r="J19" i="29"/>
  <c r="I22" i="29"/>
  <c r="J22" i="29"/>
  <c r="I25" i="29"/>
  <c r="J25" i="29"/>
  <c r="I26" i="29"/>
  <c r="J26" i="29"/>
  <c r="I30" i="29"/>
  <c r="J30" i="29"/>
  <c r="I31" i="29"/>
  <c r="J31" i="29"/>
  <c r="I37" i="29"/>
  <c r="J37" i="29"/>
  <c r="I70" i="29"/>
  <c r="J70" i="29"/>
  <c r="I73" i="29"/>
  <c r="J73" i="29"/>
  <c r="I74" i="29"/>
  <c r="J74" i="29"/>
  <c r="I75" i="29"/>
  <c r="J75" i="29"/>
  <c r="I76" i="29"/>
  <c r="J76" i="29"/>
  <c r="I77" i="29"/>
  <c r="J77" i="29"/>
  <c r="I80" i="29"/>
  <c r="J80" i="29"/>
  <c r="I83" i="29"/>
  <c r="J83" i="29"/>
  <c r="I84" i="29"/>
  <c r="J84" i="29"/>
  <c r="I86" i="29"/>
  <c r="J86" i="29"/>
  <c r="I87" i="29"/>
  <c r="J87" i="29"/>
  <c r="I89" i="29"/>
  <c r="J89" i="29"/>
  <c r="I95" i="29"/>
  <c r="J95" i="29"/>
  <c r="I97" i="29"/>
  <c r="J97" i="29"/>
  <c r="I99" i="29"/>
  <c r="J99" i="29"/>
  <c r="I105" i="29"/>
  <c r="J105" i="29"/>
  <c r="I108" i="29"/>
  <c r="J108" i="29"/>
  <c r="I110" i="29"/>
  <c r="J110" i="29"/>
  <c r="I111" i="29"/>
  <c r="J111" i="29"/>
  <c r="I112" i="29"/>
  <c r="J112" i="29"/>
  <c r="I20" i="29"/>
  <c r="J20" i="29"/>
  <c r="I5" i="29"/>
  <c r="J5" i="29"/>
  <c r="I104" i="29"/>
  <c r="J104" i="29"/>
  <c r="I2" i="29"/>
  <c r="J2" i="29"/>
  <c r="I13" i="29"/>
  <c r="J13" i="29"/>
  <c r="I4" i="29"/>
  <c r="J4" i="29"/>
  <c r="I23" i="29"/>
  <c r="J23" i="29"/>
  <c r="I35" i="29"/>
  <c r="J35" i="29"/>
  <c r="I115" i="29"/>
  <c r="J115" i="29"/>
  <c r="I29" i="29"/>
  <c r="J29" i="29"/>
  <c r="I109" i="29"/>
  <c r="I72" i="29"/>
  <c r="J72" i="29"/>
  <c r="I117" i="29"/>
  <c r="J117" i="29"/>
  <c r="I85" i="29"/>
  <c r="J85" i="29"/>
  <c r="I16" i="29"/>
  <c r="J16" i="29"/>
  <c r="I24" i="29"/>
  <c r="J24" i="29"/>
  <c r="I116" i="29"/>
  <c r="J116" i="29"/>
  <c r="I93" i="29"/>
  <c r="J93" i="29"/>
  <c r="I94" i="29"/>
  <c r="J94" i="29"/>
  <c r="I91" i="29"/>
  <c r="J91" i="29"/>
  <c r="I101" i="29"/>
  <c r="J101" i="29"/>
  <c r="I78" i="29"/>
  <c r="J78" i="29"/>
  <c r="I96" i="29"/>
  <c r="J96" i="29"/>
  <c r="I15" i="29"/>
  <c r="J15" i="29"/>
  <c r="I46" i="29"/>
  <c r="J46" i="29"/>
  <c r="I162" i="29"/>
  <c r="J162" i="29"/>
  <c r="I241" i="29"/>
  <c r="J241" i="29"/>
  <c r="I219" i="29"/>
  <c r="J219" i="29"/>
  <c r="J376" i="29"/>
  <c r="J356" i="29"/>
  <c r="I32" i="29"/>
  <c r="J32" i="29"/>
  <c r="I34" i="29"/>
  <c r="J34" i="29"/>
  <c r="I163" i="29"/>
  <c r="J163" i="29"/>
  <c r="I165" i="29"/>
  <c r="J165" i="29"/>
  <c r="I33" i="29"/>
  <c r="J33" i="29"/>
  <c r="I179" i="29"/>
  <c r="J179" i="29"/>
  <c r="I43" i="29"/>
  <c r="J43" i="29"/>
  <c r="I45" i="29"/>
  <c r="J45" i="29"/>
  <c r="I113" i="29"/>
  <c r="J113" i="29"/>
  <c r="I199" i="29"/>
  <c r="J199" i="29"/>
  <c r="H403" i="29"/>
  <c r="I44" i="29"/>
  <c r="J44" i="29"/>
  <c r="I62" i="29"/>
  <c r="J62" i="29"/>
  <c r="J109" i="29"/>
  <c r="I237" i="29"/>
  <c r="J237" i="29"/>
  <c r="J82" i="29"/>
  <c r="I39" i="29"/>
  <c r="J39" i="29"/>
  <c r="I67" i="29"/>
  <c r="J67" i="29"/>
  <c r="I68" i="29"/>
  <c r="J68" i="29"/>
  <c r="I175" i="29"/>
  <c r="J175" i="29"/>
  <c r="J317" i="29"/>
  <c r="I313" i="29"/>
  <c r="J313" i="29"/>
  <c r="I234" i="29"/>
  <c r="J234" i="29"/>
  <c r="I291" i="29"/>
  <c r="J291" i="29"/>
  <c r="J240" i="29"/>
  <c r="J180" i="29"/>
  <c r="J362" i="29"/>
  <c r="J178" i="29"/>
  <c r="J187" i="29"/>
  <c r="I240" i="29"/>
  <c r="I396" i="29"/>
  <c r="J396" i="29"/>
  <c r="J392" i="29"/>
  <c r="G403" i="29"/>
  <c r="J388" i="29"/>
  <c r="I403" i="29"/>
  <c r="J67" i="33"/>
  <c r="J313" i="33"/>
  <c r="J324" i="33"/>
  <c r="J342" i="33"/>
  <c r="J352" i="33"/>
  <c r="O403" i="33"/>
  <c r="J45" i="33"/>
  <c r="J61" i="33"/>
  <c r="I67" i="33"/>
  <c r="I68" i="33"/>
  <c r="J68" i="33"/>
  <c r="I107" i="33"/>
  <c r="J107" i="33"/>
  <c r="J215" i="33"/>
  <c r="J233" i="33"/>
  <c r="J273" i="33"/>
  <c r="J275" i="33"/>
  <c r="J277" i="33"/>
  <c r="I313" i="33"/>
  <c r="I317" i="33"/>
  <c r="J317" i="33"/>
  <c r="I324" i="33"/>
  <c r="I338" i="33"/>
  <c r="J338" i="33"/>
  <c r="I342" i="33"/>
  <c r="I348" i="33"/>
  <c r="J348" i="33"/>
  <c r="I352" i="33"/>
  <c r="I356" i="33"/>
  <c r="J356" i="33"/>
  <c r="J44" i="33"/>
  <c r="J240" i="33"/>
  <c r="J103" i="33"/>
  <c r="J343" i="33"/>
  <c r="J43" i="33"/>
  <c r="J106" i="33"/>
  <c r="J341" i="33"/>
  <c r="J46" i="33"/>
  <c r="J205" i="33"/>
  <c r="J344" i="33"/>
  <c r="J346" i="33"/>
  <c r="J366" i="33"/>
  <c r="J370" i="33"/>
  <c r="J102" i="33"/>
  <c r="G403" i="33"/>
  <c r="H403" i="33"/>
  <c r="I21" i="33"/>
  <c r="J21" i="33"/>
  <c r="I32" i="33"/>
  <c r="J32" i="33"/>
  <c r="I33" i="33"/>
  <c r="I34" i="33"/>
  <c r="J34" i="33"/>
  <c r="I38" i="33"/>
  <c r="J38" i="33"/>
  <c r="I39" i="33"/>
  <c r="J39" i="33"/>
  <c r="I52" i="33"/>
  <c r="J52" i="33"/>
  <c r="J57" i="33"/>
  <c r="J71" i="33"/>
  <c r="I90" i="33"/>
  <c r="J90" i="33"/>
  <c r="J98" i="33"/>
  <c r="J168" i="33"/>
  <c r="J217" i="33"/>
  <c r="J70" i="33"/>
  <c r="J188" i="33"/>
  <c r="J191" i="33"/>
  <c r="J198" i="33"/>
  <c r="J2" i="33"/>
  <c r="J125" i="33"/>
  <c r="I174" i="33"/>
  <c r="J174" i="33"/>
  <c r="I221" i="33"/>
  <c r="J221" i="33"/>
  <c r="J224" i="33"/>
  <c r="J236" i="33"/>
  <c r="J242" i="33"/>
  <c r="I284" i="33"/>
  <c r="J284" i="33"/>
  <c r="I296" i="33"/>
  <c r="J296" i="33"/>
  <c r="J312" i="33"/>
  <c r="J316" i="33"/>
  <c r="J323" i="33"/>
  <c r="J331" i="33"/>
  <c r="J347" i="33"/>
  <c r="J351" i="33"/>
  <c r="J355" i="33"/>
  <c r="J359" i="33"/>
  <c r="J371" i="33"/>
  <c r="I392" i="33"/>
  <c r="J392" i="33"/>
  <c r="I394" i="33"/>
  <c r="J394" i="33"/>
  <c r="I400" i="33"/>
  <c r="J400" i="33"/>
  <c r="I320" i="33"/>
  <c r="J320" i="33"/>
  <c r="I295" i="33"/>
  <c r="J295" i="33"/>
  <c r="I299" i="33"/>
  <c r="J299" i="33"/>
  <c r="I321" i="33"/>
  <c r="J321" i="33"/>
  <c r="J365" i="33"/>
  <c r="J369" i="33"/>
  <c r="I391" i="33"/>
  <c r="J391" i="33"/>
  <c r="I393" i="33"/>
  <c r="J393" i="33"/>
  <c r="I395" i="33"/>
  <c r="J395" i="33"/>
  <c r="I180" i="32"/>
  <c r="J180" i="32"/>
  <c r="I342" i="32"/>
  <c r="J342" i="32"/>
  <c r="I5" i="32"/>
  <c r="J5" i="32"/>
  <c r="I282" i="32"/>
  <c r="J282" i="32"/>
  <c r="I17" i="32"/>
  <c r="J17" i="32"/>
  <c r="I78" i="32"/>
  <c r="J78" i="32"/>
  <c r="I306" i="32"/>
  <c r="J306" i="32"/>
  <c r="I77" i="32"/>
  <c r="J77" i="32"/>
  <c r="I298" i="32"/>
  <c r="J298" i="32"/>
  <c r="I124" i="32"/>
  <c r="J124" i="32"/>
  <c r="F403" i="32"/>
  <c r="O403" i="32"/>
  <c r="J341" i="32"/>
  <c r="I163" i="32"/>
  <c r="J163" i="32"/>
  <c r="J138" i="32"/>
  <c r="J113" i="32"/>
  <c r="I382" i="32"/>
  <c r="J382" i="32"/>
  <c r="J108" i="32"/>
  <c r="I71" i="32"/>
  <c r="J71" i="32"/>
  <c r="I177" i="32"/>
  <c r="J177" i="32"/>
  <c r="J400" i="32"/>
  <c r="J274" i="32"/>
  <c r="I380" i="32"/>
  <c r="J380" i="32"/>
  <c r="J10" i="32"/>
  <c r="J161" i="32"/>
  <c r="I104" i="32"/>
  <c r="J104" i="32"/>
  <c r="J132" i="32"/>
  <c r="J156" i="32"/>
  <c r="I157" i="32"/>
  <c r="J157" i="32"/>
  <c r="I275" i="32"/>
  <c r="J275" i="32"/>
  <c r="I61" i="32"/>
  <c r="J61" i="32"/>
  <c r="J16" i="32"/>
  <c r="I16" i="32"/>
  <c r="G403" i="32"/>
  <c r="J144" i="32"/>
  <c r="I146" i="32"/>
  <c r="J146" i="32"/>
  <c r="J98" i="32"/>
  <c r="H403" i="32"/>
  <c r="I398" i="32"/>
  <c r="J398" i="32"/>
  <c r="J119" i="32"/>
  <c r="I138" i="32"/>
  <c r="I72" i="32"/>
  <c r="J72" i="32"/>
  <c r="J64" i="32"/>
  <c r="J260" i="32"/>
  <c r="I108" i="32"/>
  <c r="J142" i="32"/>
  <c r="J245" i="32"/>
  <c r="J267" i="32"/>
  <c r="I267" i="32"/>
  <c r="I97" i="32"/>
  <c r="J97" i="32"/>
  <c r="I351" i="32"/>
  <c r="J351" i="32"/>
  <c r="I394" i="32"/>
  <c r="J394" i="32"/>
  <c r="I344" i="32"/>
  <c r="J344" i="32"/>
  <c r="I315" i="32"/>
  <c r="J315" i="32"/>
  <c r="I91" i="32"/>
  <c r="J91" i="32"/>
  <c r="I325" i="32"/>
  <c r="J325" i="32"/>
  <c r="I294" i="32"/>
  <c r="J294" i="32"/>
  <c r="I178" i="32"/>
  <c r="J178" i="32"/>
  <c r="I307" i="32"/>
  <c r="J307" i="32"/>
  <c r="J200" i="32"/>
  <c r="J182" i="32"/>
  <c r="I278" i="32"/>
  <c r="J278" i="32"/>
  <c r="I79" i="32"/>
  <c r="J79" i="32"/>
  <c r="I296" i="32"/>
  <c r="J296" i="32"/>
  <c r="I175" i="32"/>
  <c r="J175" i="32"/>
  <c r="I105" i="32"/>
  <c r="J105" i="32"/>
  <c r="I343" i="32"/>
  <c r="J343" i="32"/>
  <c r="I345" i="32"/>
  <c r="J345" i="32"/>
  <c r="J339" i="32"/>
  <c r="I339" i="32"/>
  <c r="I301" i="32"/>
  <c r="J301" i="32"/>
  <c r="I379" i="32"/>
  <c r="J379" i="32"/>
  <c r="I43" i="32"/>
  <c r="J43" i="32"/>
  <c r="J256" i="32"/>
  <c r="I173" i="32"/>
  <c r="J173" i="32"/>
  <c r="I338" i="32"/>
  <c r="J338" i="32"/>
  <c r="J139" i="32"/>
  <c r="J116" i="32"/>
  <c r="I82" i="32"/>
  <c r="J82" i="32"/>
  <c r="I286" i="32"/>
  <c r="J286" i="32"/>
  <c r="J269" i="32"/>
  <c r="J297" i="32"/>
  <c r="J2" i="32"/>
  <c r="J289" i="32"/>
  <c r="I280" i="32"/>
  <c r="J280" i="32"/>
  <c r="J140" i="32"/>
  <c r="I290" i="32"/>
  <c r="J290" i="32"/>
  <c r="J285" i="32"/>
  <c r="I13" i="32"/>
  <c r="J13" i="32"/>
  <c r="J304" i="32"/>
  <c r="I309" i="32"/>
  <c r="J309" i="32"/>
  <c r="J38" i="32"/>
  <c r="I403" i="33"/>
  <c r="J33" i="33"/>
  <c r="I403" i="32"/>
  <c r="G402" i="34" l="1"/>
  <c r="H408" i="34"/>
  <c r="H407" i="34"/>
  <c r="H413" i="34" s="1"/>
  <c r="H405" i="34"/>
  <c r="H402" i="34"/>
</calcChain>
</file>

<file path=xl/sharedStrings.xml><?xml version="1.0" encoding="utf-8"?>
<sst xmlns="http://schemas.openxmlformats.org/spreadsheetml/2006/main" count="9984" uniqueCount="1194">
  <si>
    <t>REPORT NO.</t>
  </si>
  <si>
    <t>CHANGE      $</t>
  </si>
  <si>
    <t>CHANGE      %</t>
  </si>
  <si>
    <t>Thru FY</t>
  </si>
  <si>
    <t>TOTALS</t>
  </si>
  <si>
    <t>TYPE</t>
  </si>
  <si>
    <t>DEPT.</t>
  </si>
  <si>
    <t>VENDOR</t>
  </si>
  <si>
    <t>SCOPE</t>
  </si>
  <si>
    <t>1153 $</t>
  </si>
  <si>
    <t>ORIG $</t>
  </si>
  <si>
    <t>TOTAL $</t>
  </si>
  <si>
    <t>AGREEMENT/     PR   NO.</t>
  </si>
  <si>
    <t>Fed. Funds</t>
  </si>
  <si>
    <t>N</t>
  </si>
  <si>
    <t>Y</t>
  </si>
  <si>
    <t>FY17</t>
  </si>
  <si>
    <t>Human Resources</t>
  </si>
  <si>
    <t>M</t>
  </si>
  <si>
    <t>Marketing &amp; Research</t>
  </si>
  <si>
    <t>BART Police</t>
  </si>
  <si>
    <t>Maintenance &amp; Engineering</t>
  </si>
  <si>
    <t>Office of Civil Rights</t>
  </si>
  <si>
    <t>Transportation</t>
  </si>
  <si>
    <t>International Contact</t>
  </si>
  <si>
    <t>Labor Relations</t>
  </si>
  <si>
    <t>Office of the General Counsel</t>
  </si>
  <si>
    <t>Glynn &amp; Finley, LLP</t>
  </si>
  <si>
    <t>C</t>
  </si>
  <si>
    <t>Printeam</t>
  </si>
  <si>
    <t>Rolling Stock &amp; Shops</t>
  </si>
  <si>
    <t>System Safety</t>
  </si>
  <si>
    <t>Solarwinds</t>
  </si>
  <si>
    <t>Carousel Industries</t>
  </si>
  <si>
    <t>Univision Radio</t>
  </si>
  <si>
    <t>Treasury</t>
  </si>
  <si>
    <t>Procurement</t>
  </si>
  <si>
    <t>FY18</t>
  </si>
  <si>
    <t>FY19</t>
  </si>
  <si>
    <t>Loomis</t>
  </si>
  <si>
    <t>Alhambra Water</t>
  </si>
  <si>
    <t>Edgar Oliver Trust</t>
  </si>
  <si>
    <t>Peoplefluent</t>
  </si>
  <si>
    <t>Fong &amp; Fong Printing</t>
  </si>
  <si>
    <t xml:space="preserve">Provide bottled water services for various District facilities. </t>
  </si>
  <si>
    <t>Crime Scene Cleaners</t>
  </si>
  <si>
    <t>CBS Radio</t>
  </si>
  <si>
    <t>Mobile Modular Management Corporation</t>
  </si>
  <si>
    <t>Oakland Machine Works</t>
  </si>
  <si>
    <t xml:space="preserve">Provide temporary staffing to support the recruitment process for new hires. </t>
  </si>
  <si>
    <t>PSP</t>
  </si>
  <si>
    <t>Latus Solutions</t>
  </si>
  <si>
    <t>Renne Sloan Holtzman Sakai</t>
  </si>
  <si>
    <t xml:space="preserve">Provide complex and highly confidential investigation services. </t>
  </si>
  <si>
    <t xml:space="preserve">Provide for specialized, temporary part-time, help services to assist the Telecommunications Department. </t>
  </si>
  <si>
    <t>Liebert Cassidy Whitmore</t>
  </si>
  <si>
    <t>Jose Lazo</t>
  </si>
  <si>
    <t>Hertz Equipment Rental</t>
  </si>
  <si>
    <t>Airwatch</t>
  </si>
  <si>
    <t>Corey, Canapary &amp; Galanis</t>
  </si>
  <si>
    <t>Latitude Geographics</t>
  </si>
  <si>
    <t>Beverly Scott Associates</t>
  </si>
  <si>
    <t>Customer Access</t>
  </si>
  <si>
    <t>Wiley Price &amp; Radulovich, LLP</t>
  </si>
  <si>
    <t>Provide cleanup and removal of biohazardous waste from trauma scenes and transport and dispose of the medical waste.</t>
  </si>
  <si>
    <t>John Ackers</t>
  </si>
  <si>
    <t>Liner LLP</t>
  </si>
  <si>
    <t xml:space="preserve">Provide specialized legal services regarding re-employment, post-employment, and Cal PERS matters. </t>
  </si>
  <si>
    <t>Toshiba Business Solutions</t>
  </si>
  <si>
    <t>Office of the Chief Information Officer</t>
  </si>
  <si>
    <t>COMP Y/N</t>
  </si>
  <si>
    <t>SCA Environmental</t>
  </si>
  <si>
    <t>Fusion Event Staffing, Inc.</t>
  </si>
  <si>
    <t xml:space="preserve">Provide services to distribute flyers for public awareness of the Late Night Bus service.  </t>
  </si>
  <si>
    <t>Muller Veterinary Hospital</t>
  </si>
  <si>
    <t xml:space="preserve">Provide research services to conduct focus group recruiting and facilitation on proposed advertising for the BARTable website. </t>
  </si>
  <si>
    <t>Grundfos</t>
  </si>
  <si>
    <t>Microbiz</t>
  </si>
  <si>
    <t xml:space="preserve">Provide services to assist the District in resolving problems and identifying interference with the radio system. </t>
  </si>
  <si>
    <t xml:space="preserve">Provide legal services regarding the litigation of Geo-Grout v. BART, Alameda Superior Court action. </t>
  </si>
  <si>
    <t>Activeg</t>
  </si>
  <si>
    <t>Mapwest Inc.</t>
  </si>
  <si>
    <t>Calitho</t>
  </si>
  <si>
    <t>CBS Radio (KCBS-AM)</t>
  </si>
  <si>
    <t>Vidsys</t>
  </si>
  <si>
    <t>Glass Associates, Inc.</t>
  </si>
  <si>
    <t>17-01-01</t>
  </si>
  <si>
    <t>17-01-02</t>
  </si>
  <si>
    <t>17-01-03</t>
  </si>
  <si>
    <t>17-01-04</t>
  </si>
  <si>
    <t>17-01-05</t>
  </si>
  <si>
    <t>17-01-06</t>
  </si>
  <si>
    <t>Communicatons</t>
  </si>
  <si>
    <t>Online Power</t>
  </si>
  <si>
    <t>Dome</t>
  </si>
  <si>
    <t>Bay Alarm Company</t>
  </si>
  <si>
    <t>Provide services for maintenance and repair of the Honeywell Access Control System.</t>
  </si>
  <si>
    <t xml:space="preserve">Provide maintenance, calibration, troubleshooting, repairs, and upgrades on the TBT Cathodic Protection power supplies. </t>
  </si>
  <si>
    <t xml:space="preserve">Provide services to upgrade security alarm equipment to protect District property at 951 Whipple Road. </t>
  </si>
  <si>
    <t xml:space="preserve">Provide the printing of train maps reflecting the Warm Springs Extension. </t>
  </si>
  <si>
    <t>Provide services to modify running rail by tapering in an effort to prevent potential derailments at transition points.</t>
  </si>
  <si>
    <t>17-02-01</t>
  </si>
  <si>
    <t>17-02-02</t>
  </si>
  <si>
    <t>17-02-03</t>
  </si>
  <si>
    <t>17-02-04</t>
  </si>
  <si>
    <t>17-02-05</t>
  </si>
  <si>
    <t>17-02-06</t>
  </si>
  <si>
    <t>17-02-07</t>
  </si>
  <si>
    <t>17-02-08</t>
  </si>
  <si>
    <t>17-02-09</t>
  </si>
  <si>
    <t>17-02-10</t>
  </si>
  <si>
    <t>17-02-11</t>
  </si>
  <si>
    <t>17-02-12</t>
  </si>
  <si>
    <t>17-02-13</t>
  </si>
  <si>
    <t>17-02-14</t>
  </si>
  <si>
    <t>17-02-15</t>
  </si>
  <si>
    <t>17-02-16</t>
  </si>
  <si>
    <t>17-02-17</t>
  </si>
  <si>
    <t>17-02-18</t>
  </si>
  <si>
    <t>17-02-19</t>
  </si>
  <si>
    <t>17-02-20</t>
  </si>
  <si>
    <t>17-02-21</t>
  </si>
  <si>
    <t>17-02-22</t>
  </si>
  <si>
    <t>Universal Tracking Solutions, Inc.</t>
  </si>
  <si>
    <t>Commerce Printing</t>
  </si>
  <si>
    <t>Dataway</t>
  </si>
  <si>
    <t>Fruitridge</t>
  </si>
  <si>
    <t>Global Knowledge Training LLC</t>
  </si>
  <si>
    <t>Pandora</t>
  </si>
  <si>
    <t>Entercom San Francisco KBLX-FM</t>
  </si>
  <si>
    <t>Entercom San Francisco KRBQ-FM</t>
  </si>
  <si>
    <t>Sophia Scherr</t>
  </si>
  <si>
    <t>12588/      PO# 16855</t>
  </si>
  <si>
    <t>12956/      PO# 16874</t>
  </si>
  <si>
    <t xml:space="preserve">Provide GPS tracking for fourteen (14) revenue vehicles to track their location during the time of collections. </t>
  </si>
  <si>
    <t xml:space="preserve">Provide armored car services for pick-up and delivery of BART revenues from fare media purchases. </t>
  </si>
  <si>
    <t xml:space="preserve">Provide services to upgrade the District’s Honeywell Access Control System. </t>
  </si>
  <si>
    <t xml:space="preserve">Provide for the print production of 200,000 OAK and SFO Airport rack brochures for revisions regarding Warm Springs Extension. </t>
  </si>
  <si>
    <t xml:space="preserve">Provide specialized software to meet Payment Card Industry (PCI) requirements for anti-virus and security protection. </t>
  </si>
  <si>
    <t>Provide for the print production of 150,000 BART Fares &amp; Schedules multi-lingual editions regarding the Warm Springs Extension.</t>
  </si>
  <si>
    <t xml:space="preserve">Provide the print production of 200,000 BART Destinations Guide to reflect changes for the Warm Springs Extension. </t>
  </si>
  <si>
    <t xml:space="preserve">Provide for the print production of BART Station Maps to reflect changes for the Warm Springs Extension. </t>
  </si>
  <si>
    <t>Provide for the print production of 400,000 BART Transit Connections rack brochures to reflect changes for the Warm Springs Extension.</t>
  </si>
  <si>
    <t xml:space="preserve">Provide for the print production of BART platform Train Schedules to reflect changes for the Warm Springs Extension. </t>
  </si>
  <si>
    <t xml:space="preserve">Provide for the print production of 100,000 BART Basics-English version rack brochures to reflect changes for the Warm Springs Extension. </t>
  </si>
  <si>
    <t xml:space="preserve">Provide for the print production of 150,000 BART Basics in multi-lingual editions regarding the Warm Springs Extension. </t>
  </si>
  <si>
    <t xml:space="preserve">Provide training classes on Nortel, Avaya, and Cisco systems for the Communications Engineering Department. </t>
  </si>
  <si>
    <t>Provide radio advertising to promote BART transportation to Bay Area hotels.</t>
  </si>
  <si>
    <t>Provide 58-30 second radio advertising spots to promote BART transportation to Bay Area hotels.</t>
  </si>
  <si>
    <t xml:space="preserve">Provide 58-30 second radio advertising spots to promote BART transportation to Bay Area hotels. </t>
  </si>
  <si>
    <t xml:space="preserve">Provide 58-30 second radio advertising spots to promote BART transportation to Bay Area Hotels. </t>
  </si>
  <si>
    <t xml:space="preserve">Provide for the rental of three (3) portable trailers used by new train operators in Hayward, concord, and Richmond Yards. </t>
  </si>
  <si>
    <t>Provide for the rental of two (2) trailers at the Hayward Yard to serve as a breakrooms to accommodate train operators.</t>
  </si>
  <si>
    <t xml:space="preserve">Provide temporary marketing assistance for media planning, scheduling, contracting, production and trafficking related to the track closures. </t>
  </si>
  <si>
    <t>Provide services to enhance the Vidsys software currently installed at the Integrated Security Response Center (ISRC) in Oakland.</t>
  </si>
  <si>
    <t>17-03-01</t>
  </si>
  <si>
    <t>17-03-02</t>
  </si>
  <si>
    <t>17-03-03</t>
  </si>
  <si>
    <t>17-03-04</t>
  </si>
  <si>
    <t>17-03-05</t>
  </si>
  <si>
    <t>17-03-06</t>
  </si>
  <si>
    <t>17-03-07</t>
  </si>
  <si>
    <t>17-03-08</t>
  </si>
  <si>
    <t>17-03-09</t>
  </si>
  <si>
    <t>17-03-10</t>
  </si>
  <si>
    <t>Office of External Affairs</t>
  </si>
  <si>
    <t>Real Estate and Property Development</t>
  </si>
  <si>
    <t>Dispute Resolution Board Foundation</t>
  </si>
  <si>
    <t>E-Recycling of California</t>
  </si>
  <si>
    <t>Clifford Moss</t>
  </si>
  <si>
    <t>Crowther Consulting Corporation</t>
  </si>
  <si>
    <t>Star Inspection Group, Inc.</t>
  </si>
  <si>
    <t>Hi Tech Optical, Inc.</t>
  </si>
  <si>
    <t xml:space="preserve">Provide a Dispute Resolution Board Foundation training program for the Legal Department. </t>
  </si>
  <si>
    <t>Provide services to install and program security access system components and electrified hardware at the West Oakland.</t>
  </si>
  <si>
    <t>Provide for the rental of a trailer for the Elevator/Escalator Apprenticeship Program.</t>
  </si>
  <si>
    <t xml:space="preserve">Provide annual maintenance renewal and support for proprietary software and hardware used for wireless technology. </t>
  </si>
  <si>
    <t>Provide on-call services for handling disposal of electronic waste as required by state and federal statutes.</t>
  </si>
  <si>
    <t xml:space="preserve">Provide services to assist with strategic outreach to develop a spending plan and ballot language to support the BART bond measure. </t>
  </si>
  <si>
    <t xml:space="preserve">Provide MS-Word macro and template solution for use by the Office of the General Counsel. </t>
  </si>
  <si>
    <r>
      <t>Provide property inspection services and written report for the MET Building at 101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 in Oakland. </t>
    </r>
  </si>
  <si>
    <t>Provide eye examinations and prescription safety glasses to SEIU employees whose work requires eye protection.</t>
  </si>
  <si>
    <t xml:space="preserve">Provide veterinary services for regular checkups for police canines. </t>
  </si>
  <si>
    <t>17-04-01</t>
  </si>
  <si>
    <t>17-04-02</t>
  </si>
  <si>
    <t>17-04-03</t>
  </si>
  <si>
    <t>17-04-04</t>
  </si>
  <si>
    <t>17-04-05</t>
  </si>
  <si>
    <t>17-04-06</t>
  </si>
  <si>
    <t>17-04-07</t>
  </si>
  <si>
    <t>17-04-08</t>
  </si>
  <si>
    <t>17-04-09</t>
  </si>
  <si>
    <t>17-04-10</t>
  </si>
  <si>
    <t>17-04-11</t>
  </si>
  <si>
    <t>17-04-12</t>
  </si>
  <si>
    <t>17-04-13</t>
  </si>
  <si>
    <t>17-04-14</t>
  </si>
  <si>
    <t>17-04-15</t>
  </si>
  <si>
    <t>17-04-16</t>
  </si>
  <si>
    <t>District Secretary's Office</t>
  </si>
  <si>
    <t>QPCS, LLC</t>
  </si>
  <si>
    <t>Gould Wash Services LLC</t>
  </si>
  <si>
    <t>Interclean Equipment Company</t>
  </si>
  <si>
    <t>Bintelx Inc.</t>
  </si>
  <si>
    <t>EHC Global</t>
  </si>
  <si>
    <t>SF Elevator</t>
  </si>
  <si>
    <t>Daily Journal</t>
  </si>
  <si>
    <t>Bureau Veritas</t>
  </si>
  <si>
    <t>12831/      6M1075</t>
  </si>
  <si>
    <t>12855/      6M1085</t>
  </si>
  <si>
    <t>Provide legal services to defend the District in a litigation matter.</t>
  </si>
  <si>
    <t>17-05-01</t>
  </si>
  <si>
    <t>17-05-02</t>
  </si>
  <si>
    <t>17-05-03</t>
  </si>
  <si>
    <t>Planning Development &amp; Construction</t>
  </si>
  <si>
    <t>Harrington Energy Ventures, Inc.</t>
  </si>
  <si>
    <t>Provide for the purchase and installation of 40 ruggedized modems for BART Police to resolve issues with the RAILS mobile application.</t>
  </si>
  <si>
    <t>Provide repair of elevator/escalator sump pumps and drains mandated by EPA and State laws.</t>
  </si>
  <si>
    <t xml:space="preserve">Provide support and services for the control system programmed to operate the Richmond train washer. </t>
  </si>
  <si>
    <t>Provide labor and materials on an as needed basis to support District staff in maintaining the District’s train washers.</t>
  </si>
  <si>
    <t>Provide database conversion and analyst support for the Regional Anti-Terrorism and Law Enforcement System (RAILS) Project.</t>
  </si>
  <si>
    <t xml:space="preserve">Provide services to upgrade proprietary software in PeopleSoft HCM for Time and Labor, Payroll, People Tools, and Application Image. </t>
  </si>
  <si>
    <t xml:space="preserve">Provide specialized services for the replacement and vulcanizing of escalator handrails and training to BART employees. </t>
  </si>
  <si>
    <t xml:space="preserve">Provide as-needed repair services to elevator/escalator equipment to comply with State and ADA requirements. </t>
  </si>
  <si>
    <t>Provide services and expertise for the development of joint labor-management activities.</t>
  </si>
  <si>
    <t xml:space="preserve">Provide legal advertisements which are required to conduct District business. </t>
  </si>
  <si>
    <t>Provide funding to pay permit and inspection fees required by the State of California for the District’s escalators, elevators, and chairlifts.</t>
  </si>
  <si>
    <t xml:space="preserve">Provide a GIS/Maximo assessment and related consulting services for better use of mobile applications. </t>
  </si>
  <si>
    <t xml:space="preserve">Provide consulting services to support the identification, evaluation and control of asbestos and lead containing materials at District facilities. </t>
  </si>
  <si>
    <t>Provide for the lease of copy machines for the District.</t>
  </si>
  <si>
    <t>Provide consulting services to assess the eligibility of lighting upgrade projects being implemented.</t>
  </si>
  <si>
    <t>Provide document translation and language interpretation services to comply with Title VI requirements.</t>
  </si>
  <si>
    <t>17-06-01</t>
  </si>
  <si>
    <t>17-06-02</t>
  </si>
  <si>
    <t>17-06-03</t>
  </si>
  <si>
    <t>17-06-04</t>
  </si>
  <si>
    <t>17-06-05</t>
  </si>
  <si>
    <t>17-06-06</t>
  </si>
  <si>
    <t>17-06-07</t>
  </si>
  <si>
    <t>17-06-08</t>
  </si>
  <si>
    <t>17-06-09</t>
  </si>
  <si>
    <t>17-06-10</t>
  </si>
  <si>
    <t>17-06-11</t>
  </si>
  <si>
    <t>17-06-12</t>
  </si>
  <si>
    <t>17-06-13</t>
  </si>
  <si>
    <t>17-06-14</t>
  </si>
  <si>
    <t>17-06-15</t>
  </si>
  <si>
    <t>17-06-16</t>
  </si>
  <si>
    <t>17-06-17</t>
  </si>
  <si>
    <t>17-06-18</t>
  </si>
  <si>
    <t>17-06-19</t>
  </si>
  <si>
    <t>17-06-20</t>
  </si>
  <si>
    <t>eBART Operations</t>
  </si>
  <si>
    <t>Sitehawk LLC</t>
  </si>
  <si>
    <t>Peggy Dods Media Plans and Buys</t>
  </si>
  <si>
    <t>Safestore, Inc.</t>
  </si>
  <si>
    <t>Sigler and Associates Investigations</t>
  </si>
  <si>
    <t>ARC</t>
  </si>
  <si>
    <t>Roger Avery</t>
  </si>
  <si>
    <t>Bike East Bay</t>
  </si>
  <si>
    <t>Janice Dispo</t>
  </si>
  <si>
    <t>Trescal, Inc.</t>
  </si>
  <si>
    <t>Dailey Wells Communication Inc.</t>
  </si>
  <si>
    <t>Mai Thi Tran</t>
  </si>
  <si>
    <t>Assetanalytix</t>
  </si>
  <si>
    <t>Robert Half</t>
  </si>
  <si>
    <t>Big 4 Party Rental</t>
  </si>
  <si>
    <t>Kinder's Meats Deli BBQ</t>
  </si>
  <si>
    <t>Hoovers Interiors</t>
  </si>
  <si>
    <t>Provide cloud-based Safety Data Sheet (SDS) management and chemical data management solutions.</t>
  </si>
  <si>
    <t>Provide advertising media planning and buying services.</t>
  </si>
  <si>
    <t>Provide storage services for Police evidence.</t>
  </si>
  <si>
    <t xml:space="preserve">Provide consulting services to assist the District in resolving highly sensitive EEO harassment and discrimination complaints. </t>
  </si>
  <si>
    <t xml:space="preserve">Provide printing and document reproduction services for the new Roadway Worker Protection (RWP) Manual. </t>
  </si>
  <si>
    <t>Provide services to manage and staff a bike theft prevention outreach program to familiarize cyclists with more secure option.</t>
  </si>
  <si>
    <t xml:space="preserve">Provide services for recording, preparation and captioning of BART Accessibility Task Force (BATF) meeting minutes. </t>
  </si>
  <si>
    <t>Provide calibration and repair services of systems maintenance equipment for mechanical tools and measuring devices.</t>
  </si>
  <si>
    <t xml:space="preserve">Provide calibration and repair services of train control equipment for mechanical tools and measuring devices. </t>
  </si>
  <si>
    <t>Provide specialized legal services in connection with issues relating to the District’s compensation programs for Board-Appointed Officers.</t>
  </si>
  <si>
    <t xml:space="preserve">Provide on-call repair of elevator electronic circuit boards to meet the standards established by court injunction related to ADA compliance. </t>
  </si>
  <si>
    <t>Provide services associated with the implementation of Maximo and OBIEE reporting, performance management and analytics framework.</t>
  </si>
  <si>
    <t>Provide services for the print production of 50,000 BART Fares &amp; Schedules brochures.</t>
  </si>
  <si>
    <t xml:space="preserve">Provide for the rental of tents and tables to celebrate completion of the M85/A15 track shutdown project. </t>
  </si>
  <si>
    <t xml:space="preserve">Provide food catering service to celebrate completion of the M85/A15 track shutdown project. </t>
  </si>
  <si>
    <t>Provide the annual renewal of proprietary software for network access control to alert and prevent unauthorized use of the network.</t>
  </si>
  <si>
    <t>Provide services to install modular partitions and work surfaces at the eBART maintenance facility.</t>
  </si>
  <si>
    <t>17-07-01</t>
  </si>
  <si>
    <t>17-07-02</t>
  </si>
  <si>
    <t>17-07-03</t>
  </si>
  <si>
    <t>17-07-04</t>
  </si>
  <si>
    <t>17-07-05</t>
  </si>
  <si>
    <t>17-07-06</t>
  </si>
  <si>
    <t>Ridge Cast Metals</t>
  </si>
  <si>
    <t>Beck Electric Supply</t>
  </si>
  <si>
    <t>13158/      6M1081</t>
  </si>
  <si>
    <t xml:space="preserve">Provide 450-30 second radio advertising spots to promote BART transportation to San Francisco Bay Area hotels. </t>
  </si>
  <si>
    <t xml:space="preserve">Provide on-call maintenance and repair services for elevators and escalators to meet the standards related to ADA compliance. </t>
  </si>
  <si>
    <t xml:space="preserve">Provide market research services to conduct the BART 2016 onboard customer satisfaction survey. </t>
  </si>
  <si>
    <t xml:space="preserve">Provide on-call testing and repair services for the District’s new 5KVAC circuit breakers. </t>
  </si>
  <si>
    <t xml:space="preserve">Provide for the rental of special construction equipment related to HMC expansion and other structures project activity. </t>
  </si>
  <si>
    <t>17-08-01</t>
  </si>
  <si>
    <t>17-08-02</t>
  </si>
  <si>
    <t>17-08-03</t>
  </si>
  <si>
    <t>17-08-04</t>
  </si>
  <si>
    <t>17-08-05</t>
  </si>
  <si>
    <t>17-08-06</t>
  </si>
  <si>
    <t>17-08-07</t>
  </si>
  <si>
    <t>17-08-08</t>
  </si>
  <si>
    <t>17-08-09</t>
  </si>
  <si>
    <t>17-08-10</t>
  </si>
  <si>
    <t>17-08-11</t>
  </si>
  <si>
    <t>17-08-12</t>
  </si>
  <si>
    <t>17-08-13</t>
  </si>
  <si>
    <t>Felicia Kieselhorst</t>
  </si>
  <si>
    <t>Honda of Oakland</t>
  </si>
  <si>
    <t>Dr. Sacha Joseph-Mathews</t>
  </si>
  <si>
    <t>Fard Engineers, Inc.</t>
  </si>
  <si>
    <t>Quantum Market Research</t>
  </si>
  <si>
    <t>ESRI</t>
  </si>
  <si>
    <t>Avison Young</t>
  </si>
  <si>
    <t>East Bay Innovations</t>
  </si>
  <si>
    <t>12693/      PO# 18873</t>
  </si>
  <si>
    <t>13179/      PO# 16867</t>
  </si>
  <si>
    <t>13267/      6M5105</t>
  </si>
  <si>
    <t xml:space="preserve">Provide photographic services for the BARTable website, email newsletter, printed newsletter, and photographs of marketing events. </t>
  </si>
  <si>
    <t>Provide a three (3) year lease for two new vehicles to support the Traction Power Rehab Project 15EL-100.</t>
  </si>
  <si>
    <t>Provide annual maintenance of software (CAAMS).</t>
  </si>
  <si>
    <t>Provide publication printing for public awareness of BART’s system map of BART’s stations and connections.</t>
  </si>
  <si>
    <t xml:space="preserve">Provide training and consulting services for the leadership development of District employees. </t>
  </si>
  <si>
    <t>Provide architectural engineering services for tenant improvements at the Pleasant Hill Bike Station.</t>
  </si>
  <si>
    <t>Provide 297-30 second radio advertising spots to inform the public of the M85 track closure and disruption of service.</t>
  </si>
  <si>
    <t>Provide consulting services to assist BART with installing and configuring the ArcGIS GeoEvent Extension for Server.</t>
  </si>
  <si>
    <r>
      <t>Provide brokerage consultation assistance regarding the MET Building at 101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 in Oakland.</t>
    </r>
  </si>
  <si>
    <t xml:space="preserve">Provide up to two graduates with the opportunity to work in a corporate environment. </t>
  </si>
  <si>
    <t>17-09-01</t>
  </si>
  <si>
    <t>17-09-02</t>
  </si>
  <si>
    <t>17-09-03</t>
  </si>
  <si>
    <t>17-09-04</t>
  </si>
  <si>
    <t>17-09-05</t>
  </si>
  <si>
    <t>17-09-06</t>
  </si>
  <si>
    <t>17-09-07</t>
  </si>
  <si>
    <t>S. J. Sarmento Engineering</t>
  </si>
  <si>
    <t>National Escalator Cleaning, LLC</t>
  </si>
  <si>
    <t>West Coast Escalator Cleaning</t>
  </si>
  <si>
    <t>Ace Janitorial Supply</t>
  </si>
  <si>
    <t>Doc Bailey Construction Equipment Inc.</t>
  </si>
  <si>
    <t xml:space="preserve">Provide escalator repair services to refurbish/replace escalator steps in order to assure compliance with ADA mandates. </t>
  </si>
  <si>
    <t xml:space="preserve">Provide deep cleaning and environmental sanitizing of escalators. </t>
  </si>
  <si>
    <t xml:space="preserve">Provide Architectural consulting services for the BART Police and other departments space planning at BART’s MET Building. </t>
  </si>
  <si>
    <t>Provide services to furnish and install hi-rail equipment, crane, MVDD system and specialized maintenance equipment.</t>
  </si>
  <si>
    <t>17-10-01</t>
  </si>
  <si>
    <t>17-10-02</t>
  </si>
  <si>
    <t>17-10-03</t>
  </si>
  <si>
    <t>17-10-04</t>
  </si>
  <si>
    <t>17-10-05</t>
  </si>
  <si>
    <t>Davillier-Sloan</t>
  </si>
  <si>
    <t>The Alarcon Group, LLC</t>
  </si>
  <si>
    <t>Birdair</t>
  </si>
  <si>
    <t>Tr Advisors, LLC (TRA)</t>
  </si>
  <si>
    <t>Provide 468-30 second Spanish radio/web advertising spots on Univision Radio to inform the public of the M85 track closure.</t>
  </si>
  <si>
    <t>Provide on-call services of an Ombudsperson to support the District’s efforts to resolve construction contractor/subcontractor disputes.</t>
  </si>
  <si>
    <t xml:space="preserve">Provide on-call services of an Ombudsperson to support the District’s efforts to resolve construction contractor/subcontractor disputes. </t>
  </si>
  <si>
    <t xml:space="preserve">Provide specialized services to inspect and maintain the fabric roof structure at the Millbrae Station. </t>
  </si>
  <si>
    <t xml:space="preserve">Provide professional services to perform advertising franchise industry research and for development of an advertising financial model. </t>
  </si>
  <si>
    <t>17-11-01</t>
  </si>
  <si>
    <t>17-11-02</t>
  </si>
  <si>
    <t>17-11-03</t>
  </si>
  <si>
    <t>17-11-04</t>
  </si>
  <si>
    <t>17-11-05</t>
  </si>
  <si>
    <t>17-11-06</t>
  </si>
  <si>
    <t>17-11-07</t>
  </si>
  <si>
    <t>17-11-08</t>
  </si>
  <si>
    <t>Customer Services</t>
  </si>
  <si>
    <t>The Labor Compliance Managers</t>
  </si>
  <si>
    <t>Learn It</t>
  </si>
  <si>
    <t>AQS Management Systems, Inc.</t>
  </si>
  <si>
    <t>Bay Crossings</t>
  </si>
  <si>
    <t>Indoor Reality</t>
  </si>
  <si>
    <t>13334/      6M1018</t>
  </si>
  <si>
    <t xml:space="preserve">Provide labor compliance monitoring services to support the District’s efforts regarding various BART public works construction projects. </t>
  </si>
  <si>
    <t xml:space="preserve">Provide development training to M&amp;E training staff – “Train the Trainer.” </t>
  </si>
  <si>
    <t>Provide direction for the existing AQS management system.</t>
  </si>
  <si>
    <t>Provide services to operate a Ticket Sales booth at the Embarcadero BART Station in San Francisco.</t>
  </si>
  <si>
    <t xml:space="preserve">Provide specialized legal services regarding issues related to labor and employment matters. </t>
  </si>
  <si>
    <t xml:space="preserve">Provide annual maintenance renewal for proprietary software used as a network performance monitoring. </t>
  </si>
  <si>
    <t>Provide scanning and processing services of the Embarcadero BART Station and installation of the web visualization software.</t>
  </si>
  <si>
    <t>Provide software services to add a “Track Allocation” component to the District’s online (EGIS); Phase 2.</t>
  </si>
  <si>
    <t>17-12-01</t>
  </si>
  <si>
    <t>17-12-02</t>
  </si>
  <si>
    <t>Cornerstone Technologies</t>
  </si>
  <si>
    <t xml:space="preserve">Provide hardware maintenance on the existing Fortinet hardware.  </t>
  </si>
  <si>
    <t>Provide for the renewal of proprietary AirWatch software licenses for mobile device management.</t>
  </si>
  <si>
    <t xml:space="preserve">Provide consulting services to oversee efforts related to the procurement of lockers for the Electronic Bicycle Locker project. </t>
  </si>
  <si>
    <t>17-13-01</t>
  </si>
  <si>
    <t>17-13-02</t>
  </si>
  <si>
    <t>17-13-03</t>
  </si>
  <si>
    <t>17-13-04</t>
  </si>
  <si>
    <t>17-13-05</t>
  </si>
  <si>
    <t>Rexel, Inc.</t>
  </si>
  <si>
    <t>All Industrial Supply</t>
  </si>
  <si>
    <t>Fortnet Security</t>
  </si>
  <si>
    <t>Tritech Software Systems</t>
  </si>
  <si>
    <t xml:space="preserve">Provide managed security services to review and report any suspicious activity within BART’s credit network devices. </t>
  </si>
  <si>
    <t>Provide integration services to BART’s CSIM software platform in support of the ISRC subsystem in Oakland.</t>
  </si>
  <si>
    <t xml:space="preserve">Provide a supplemental information modification to BART’s RAILS system that is used to dispatch and track 911 calls. </t>
  </si>
  <si>
    <t>Provide reconditioning serivce for medium voltage circuit breakers required to provide power for revenue service.</t>
  </si>
  <si>
    <t xml:space="preserve">Provide reconditioning service for high voltage circuit breakers required to provide power for revenue service. </t>
  </si>
  <si>
    <t>17-14-01</t>
  </si>
  <si>
    <t>17-14-02</t>
  </si>
  <si>
    <t>17-14-03</t>
  </si>
  <si>
    <t>Ecelsior Elevator Corporation</t>
  </si>
  <si>
    <t>Union Service Company</t>
  </si>
  <si>
    <t>Provide as-needed repair services to elevator/escalator equipment to comply with State and ADA requirements.</t>
  </si>
  <si>
    <r>
      <t>Provide pressure washing services for plazas, sidewalks and walls at the 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&amp; Mission and 24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&amp; Mission stations. </t>
    </r>
  </si>
  <si>
    <t xml:space="preserve">Provide services to operate a Ticket Sales booth at the Embarcadero BART Station in San Francisco. </t>
  </si>
  <si>
    <t>17-15-01</t>
  </si>
  <si>
    <t>17-15-02</t>
  </si>
  <si>
    <t>17-15-03</t>
  </si>
  <si>
    <t>17-15-04</t>
  </si>
  <si>
    <t>17-15-05</t>
  </si>
  <si>
    <t>17-15-06</t>
  </si>
  <si>
    <t>17-15-07</t>
  </si>
  <si>
    <t>Qualtrics</t>
  </si>
  <si>
    <t>Oakland Raiders</t>
  </si>
  <si>
    <t>Linquisium</t>
  </si>
  <si>
    <t>Corporate Counsel Law Group</t>
  </si>
  <si>
    <t>La Opinion</t>
  </si>
  <si>
    <t>Powers Consulting</t>
  </si>
  <si>
    <t>Trane</t>
  </si>
  <si>
    <t>Provide on-line database survey platform software for use in collecting patron information.</t>
  </si>
  <si>
    <t xml:space="preserve">Provide on-line surveys and testing to assess the effectiveness the training provided to Staff. </t>
  </si>
  <si>
    <t xml:space="preserve">Provide specialized hearing officer services to address issues relative to contractor substitutions. </t>
  </si>
  <si>
    <t xml:space="preserve">Provide Spanish language advertisements in connection with the M85 service interruptions. </t>
  </si>
  <si>
    <t xml:space="preserve">Provide customized training services for conducting the Performance Evaluation process for Non-represented and AFSCME employees.  </t>
  </si>
  <si>
    <t xml:space="preserve">Provide sponsorship to encourage ridership for Oakland Raider football games.  </t>
  </si>
  <si>
    <t xml:space="preserve">Provide specialized training for BART personnel responsible for the maintenance of chillers. </t>
  </si>
  <si>
    <t>17-16-01</t>
  </si>
  <si>
    <t>17-16-02</t>
  </si>
  <si>
    <t>Sarah Ellis</t>
  </si>
  <si>
    <t>Diego Enriquez Maldonado</t>
  </si>
  <si>
    <t xml:space="preserve">Provide services to assist District staff in meeting Maximo and Fiber Optic production requirements for EGIS. </t>
  </si>
  <si>
    <t>Provide consulting services to assist BART staff in resolving issues associated with the Time and Labor module.</t>
  </si>
  <si>
    <t>17-17-01</t>
  </si>
  <si>
    <t>17-17-02</t>
  </si>
  <si>
    <t>17-17-03</t>
  </si>
  <si>
    <t>17-17-04</t>
  </si>
  <si>
    <t>17-17-05</t>
  </si>
  <si>
    <t>17-17-06</t>
  </si>
  <si>
    <t>Synopsys Inc.</t>
  </si>
  <si>
    <t>Peninsula Crane &amp; Rigging</t>
  </si>
  <si>
    <t>Thompson Coburn LLP</t>
  </si>
  <si>
    <t>Entercom</t>
  </si>
  <si>
    <t>Geomatic Technologies</t>
  </si>
  <si>
    <t>iHeart Radio</t>
  </si>
  <si>
    <t xml:space="preserve">Provide proprietary Payment Card Industry Data Security Standard software to ensure security of BART’s critical PCI infrastructure. </t>
  </si>
  <si>
    <t xml:space="preserve">Provide crane and rigging services to support District staff efforts in replacing track turnouts. </t>
  </si>
  <si>
    <t>Provide specialized legal services for issues relating to procurement options and federal regulations.</t>
  </si>
  <si>
    <t xml:space="preserve">Provide BARTable advertising to promote BART ridership during off-peak hours and for leisure events. </t>
  </si>
  <si>
    <t>Provide service to conduct an investigation to address potential concerns regarding the Fleet of the Future car dimensions.</t>
  </si>
  <si>
    <t>17-18-01</t>
  </si>
  <si>
    <t>17-18-02</t>
  </si>
  <si>
    <t>17-18-03</t>
  </si>
  <si>
    <t>17-18-04</t>
  </si>
  <si>
    <t>17-18-05</t>
  </si>
  <si>
    <t>17-18-06</t>
  </si>
  <si>
    <t>17-18-07</t>
  </si>
  <si>
    <t>17-18-08</t>
  </si>
  <si>
    <t>17-18-09</t>
  </si>
  <si>
    <t>17-18-10</t>
  </si>
  <si>
    <t>17-18-11</t>
  </si>
  <si>
    <t>17-18-12</t>
  </si>
  <si>
    <t>17-18-13</t>
  </si>
  <si>
    <t>17-18-14</t>
  </si>
  <si>
    <t>17-18-15</t>
  </si>
  <si>
    <t>Operations Planning</t>
  </si>
  <si>
    <t>KTSF26</t>
  </si>
  <si>
    <t>Implementisense</t>
  </si>
  <si>
    <t>Exl Prints</t>
  </si>
  <si>
    <t>Parking Analytics and Commuter Transportation</t>
  </si>
  <si>
    <t>Pacific Standard Print</t>
  </si>
  <si>
    <t>Irvine Sensors</t>
  </si>
  <si>
    <t>Sonus</t>
  </si>
  <si>
    <t>Thomas Law Group</t>
  </si>
  <si>
    <t>Rochester Midland</t>
  </si>
  <si>
    <t>Giant Gray</t>
  </si>
  <si>
    <t>Honey Bucket</t>
  </si>
  <si>
    <t>Provide radio advertising to promote BART ridership during the BART Holiday Campaign.</t>
  </si>
  <si>
    <t>Provide radio advertising to promote BART ridership during the BART Holiday Campaign and Chinese New Year Celebration.</t>
  </si>
  <si>
    <t xml:space="preserve">Provide consulting services to update PeopleSoft HCM to accommodate federal reporting requirements relative to the Affordable Care Act. </t>
  </si>
  <si>
    <t xml:space="preserve">Provide the printing of special banners for the SFO Ridership Campaign. </t>
  </si>
  <si>
    <t>Provide services to conduct a physical survey of parking inventory available at BART Stations.</t>
  </si>
  <si>
    <t>Provide the printing of 50,000 BART Destination Guide brochures to replenish the inventory available for distribution to stations.</t>
  </si>
  <si>
    <t>Provide the printing of 50,000 BART Transit Connections brochures to replenish the inventory available for distribution to stations.</t>
  </si>
  <si>
    <t xml:space="preserve">Provide the printing of 50,000 BART Destination Guide brochures to replenish the inventory available for distribution to stations. </t>
  </si>
  <si>
    <t xml:space="preserve">Provide the implementation of a network of surveillance cameras at the Embarcadero Station and L35 Yards. </t>
  </si>
  <si>
    <t>Provide OEM services to repair and upgrade defective circuit boards for the Train Control Department.</t>
  </si>
  <si>
    <t xml:space="preserve">Provide legal services in connection with the development of a transportation benefit assessment district study. </t>
  </si>
  <si>
    <t xml:space="preserve">Provide maintenance services and supplies for sanitizing restrooms in the shops. </t>
  </si>
  <si>
    <t xml:space="preserve">Provide the installation and hardware of ten (10) cameras to enhance train car protection.  </t>
  </si>
  <si>
    <t xml:space="preserve">Provide sewage pumping services for 3 modular offices utilized for the commissioning of the new vehicles at the BART Test Track. </t>
  </si>
  <si>
    <t>17-19-01</t>
  </si>
  <si>
    <t>17-19-02</t>
  </si>
  <si>
    <t>17-19-03</t>
  </si>
  <si>
    <t>17-19-04</t>
  </si>
  <si>
    <t>17-19-05</t>
  </si>
  <si>
    <t>17-19-06</t>
  </si>
  <si>
    <t>17-19-07</t>
  </si>
  <si>
    <t>OKTA</t>
  </si>
  <si>
    <t>On the Move Careers (OTM)</t>
  </si>
  <si>
    <t>Always Under Pressure</t>
  </si>
  <si>
    <t>Shimento Inc.</t>
  </si>
  <si>
    <t>United Rentals</t>
  </si>
  <si>
    <t>Bailey Fence Company</t>
  </si>
  <si>
    <t>Chain Link Fence &amp; Supply Inc.</t>
  </si>
  <si>
    <t xml:space="preserve">Provide software utilized to extend authentication infrastructure to cloud-based service providers. </t>
  </si>
  <si>
    <t xml:space="preserve">Provide leadership development training and customized coaching services for managers and supervisors. </t>
  </si>
  <si>
    <t xml:space="preserve">Provide on-call maintenance and repair services for waste water treatment facilities at four (4) locations. </t>
  </si>
  <si>
    <t xml:space="preserve">Provide short term rental of equipment including light towers, lifts and generators as required to support maintenance activities districtwide. </t>
  </si>
  <si>
    <t xml:space="preserve">Provide consulting services to manage the growth, maintenance, operation and assist in maturing BART’s SharePoint implementation. </t>
  </si>
  <si>
    <t xml:space="preserve">Provide on-call repair services for security fencing and comply with CPUC mandates regarding safety along the Right-of -Way. </t>
  </si>
  <si>
    <t>17-20-01</t>
  </si>
  <si>
    <t>17-20-02</t>
  </si>
  <si>
    <t>17-20-03</t>
  </si>
  <si>
    <t>17-20-04</t>
  </si>
  <si>
    <t>17-20-05</t>
  </si>
  <si>
    <t>17-20-06</t>
  </si>
  <si>
    <t>17-20-07</t>
  </si>
  <si>
    <t>17-20-08</t>
  </si>
  <si>
    <t>Dun &amp; Bradstreet</t>
  </si>
  <si>
    <t>Frequence</t>
  </si>
  <si>
    <t>Smith System</t>
  </si>
  <si>
    <t>Chris Ebel Photography</t>
  </si>
  <si>
    <t>Kronos</t>
  </si>
  <si>
    <t>Nordco Rail Services LLC</t>
  </si>
  <si>
    <t>eLock Technologies</t>
  </si>
  <si>
    <t>13676/      PO# 21621</t>
  </si>
  <si>
    <t xml:space="preserve">Provide Web Advertisements for the Fleet of the Future Open house. </t>
  </si>
  <si>
    <t xml:space="preserve">Provide on-line training in defensive driving techniques in an effort to reduce the occurrence of accidents while driving District vehicles. </t>
  </si>
  <si>
    <t>Provide services to photograph the District’s Board of Directors.</t>
  </si>
  <si>
    <t xml:space="preserve">Provide Telestaff Software used as a scheduling tool for BART Police. </t>
  </si>
  <si>
    <t xml:space="preserve">Provide annual rail flaw detection services as required by the PUC. </t>
  </si>
  <si>
    <t>Provide services to maintain software and hardware utilized for the District’s bike lockers and self-service bike stations.</t>
  </si>
  <si>
    <t>Provide on-line access to a business information database.</t>
  </si>
  <si>
    <t>17-21-01</t>
  </si>
  <si>
    <t>17-21-02</t>
  </si>
  <si>
    <t>17-21-03</t>
  </si>
  <si>
    <t>17-21-04</t>
  </si>
  <si>
    <t>17-21-05</t>
  </si>
  <si>
    <t>17-21-06</t>
  </si>
  <si>
    <t>17-21-07</t>
  </si>
  <si>
    <t>17-21-08</t>
  </si>
  <si>
    <t>17-21-09</t>
  </si>
  <si>
    <t>17-21-10</t>
  </si>
  <si>
    <t>17-21-11</t>
  </si>
  <si>
    <t>Phillip Hua</t>
  </si>
  <si>
    <t>Sanaz Mazinani</t>
  </si>
  <si>
    <t>Red-D-Arc</t>
  </si>
  <si>
    <t>LJ Welding Automation</t>
  </si>
  <si>
    <t>BLX Group LLC</t>
  </si>
  <si>
    <t>Stephen Galloway Studio, LLC</t>
  </si>
  <si>
    <t>Ron Moultrie Saunders</t>
  </si>
  <si>
    <t>Cold Noble, LLC</t>
  </si>
  <si>
    <t>Vertiba</t>
  </si>
  <si>
    <r>
      <t>Provide art design consultation services for artwork at the 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 BART Station as part of station modernization enhancement. </t>
    </r>
  </si>
  <si>
    <t xml:space="preserve">Provide services to produce a series of BART related original works for the 2017/2018 BART Art Poster Communications campaign. </t>
  </si>
  <si>
    <t>Provide the rental and maintenance of an air compressor for blasting purposes to clean insulators and other equipment.</t>
  </si>
  <si>
    <t>Provide the rental of special powered cable reel roller for the 34.5kv replacement cable project.</t>
  </si>
  <si>
    <t xml:space="preserve">Provide bond disclosure and arbitrage analysis services to comply with statutory requirements. </t>
  </si>
  <si>
    <t xml:space="preserve">Provide art design consultation services for artwork at the Powell Street BART Station as part of station modernization enhancement. </t>
  </si>
  <si>
    <t xml:space="preserve">Provide post implementation support of Salesforce Services Cloud. </t>
  </si>
  <si>
    <t xml:space="preserve">Provide advertising media planning and buying services. </t>
  </si>
  <si>
    <t xml:space="preserve">Provide data entry of self-administered surveys to be completed by BART passengers. </t>
  </si>
  <si>
    <t>17-22-01</t>
  </si>
  <si>
    <t>17-22-02</t>
  </si>
  <si>
    <t>17-22-03</t>
  </si>
  <si>
    <t>17-22-04</t>
  </si>
  <si>
    <t>Comcast Spotlight</t>
  </si>
  <si>
    <t>Synchrony Systems, Inc.</t>
  </si>
  <si>
    <t>Salesforce</t>
  </si>
  <si>
    <t>Clan Keith Consulting LLC</t>
  </si>
  <si>
    <t xml:space="preserve">Provide 15,235 TV advertising spots (combo of 30 and 60 seconds) to promote ridership during the BART Holiday Campaign. </t>
  </si>
  <si>
    <t xml:space="preserve">Provide professional services associated with the latest upgrade version for the MARIS system. </t>
  </si>
  <si>
    <t>Provide consulting services to support proprietary website development projects on an as-needed, on-call basis.</t>
  </si>
  <si>
    <t xml:space="preserve">Provide annual renewal of RemedyForce, Sales Cloud and Services Cloud proprietary software. </t>
  </si>
  <si>
    <t>17-23-01</t>
  </si>
  <si>
    <t>17-23-02</t>
  </si>
  <si>
    <t>17-23-03</t>
  </si>
  <si>
    <t xml:space="preserve">Provide radio advertising </t>
  </si>
  <si>
    <t>Cintas</t>
  </si>
  <si>
    <t>KNBR</t>
  </si>
  <si>
    <t>17-24-01</t>
  </si>
  <si>
    <t>17-24-02</t>
  </si>
  <si>
    <t>17-24-03</t>
  </si>
  <si>
    <t>17-24-04</t>
  </si>
  <si>
    <t>17-24-05</t>
  </si>
  <si>
    <t>17-24-06</t>
  </si>
  <si>
    <t>Internal Audit</t>
  </si>
  <si>
    <t>Office of Independent Police Auditor</t>
  </si>
  <si>
    <t>Thompson Reuters-West Publishing</t>
  </si>
  <si>
    <t>Michael Gennaco/dba Oir Group</t>
  </si>
  <si>
    <t>Overton Safety Training</t>
  </si>
  <si>
    <t>KITS</t>
  </si>
  <si>
    <t>KCBS</t>
  </si>
  <si>
    <t>Plymouth Locomotive Service, LLC</t>
  </si>
  <si>
    <t xml:space="preserve">Provide specialized software used to conduct fraud and ethics investigations. </t>
  </si>
  <si>
    <t>Provide services to evaluate the structure of the BART Citizen Oversight Model.</t>
  </si>
  <si>
    <t xml:space="preserve">Provide training services related to hoisting and lifting to maintain compliance with Cal OSHA requirements. </t>
  </si>
  <si>
    <t>Provide instructions to BART mechanics to diagnose and resolve issues relative to achieving compatibility.</t>
  </si>
  <si>
    <t>17-25-01</t>
  </si>
  <si>
    <t>17-25-02</t>
  </si>
  <si>
    <t>17-25-03</t>
  </si>
  <si>
    <t>Oakland Airport Connector</t>
  </si>
  <si>
    <t>Pavement Engineering Inc.</t>
  </si>
  <si>
    <t>Port of Oakland</t>
  </si>
  <si>
    <t>13717/      PO# 20419</t>
  </si>
  <si>
    <t>N/A</t>
  </si>
  <si>
    <t xml:space="preserve">Provide BART-OAK Bus Bridge service in response to a request related to a shutdown of the Airport Connector extension service. </t>
  </si>
  <si>
    <t xml:space="preserve">Provide BART Fares &amp; Schedules Brochure reflecting fares and schedules for the Warm Springs Extension. </t>
  </si>
  <si>
    <t>17-26-01</t>
  </si>
  <si>
    <t>17-26-02</t>
  </si>
  <si>
    <t>17-26-03</t>
  </si>
  <si>
    <t>17-26-04</t>
  </si>
  <si>
    <t>17-26-05</t>
  </si>
  <si>
    <t>17-26-06</t>
  </si>
  <si>
    <t>17-26-07</t>
  </si>
  <si>
    <t>17-26-08</t>
  </si>
  <si>
    <t>17-26-09</t>
  </si>
  <si>
    <t>17-26-10</t>
  </si>
  <si>
    <t>17-26-11</t>
  </si>
  <si>
    <t>17-26-12</t>
  </si>
  <si>
    <t>17-26-13</t>
  </si>
  <si>
    <t>17-26-14</t>
  </si>
  <si>
    <t>17-26-15</t>
  </si>
  <si>
    <t>17-26-16</t>
  </si>
  <si>
    <t>Office of the General Manager</t>
  </si>
  <si>
    <t xml:space="preserve">Provide legal services to defend the District in a litigation matter.  </t>
  </si>
  <si>
    <t>Buchman Provine Brothers Smith LLP</t>
  </si>
  <si>
    <t>KFOG</t>
  </si>
  <si>
    <t>Moore Iacofano Goltsman, Inc.</t>
  </si>
  <si>
    <t>BMC Software, Inc. (BMC)</t>
  </si>
  <si>
    <t>Oakland Venue Management (OVM)</t>
  </si>
  <si>
    <t>Schweitzer Engineering Laboratories (SEL)</t>
  </si>
  <si>
    <t>BASC Group, Inc.</t>
  </si>
  <si>
    <t>Nelson Communications</t>
  </si>
  <si>
    <t>The Bancorp Bank</t>
  </si>
  <si>
    <t>Granicus</t>
  </si>
  <si>
    <t>Crown Lift Trucks</t>
  </si>
  <si>
    <t>Provide logistical support and a court reporter for a transcription of the disparity study public information meetings.</t>
  </si>
  <si>
    <t>Provide custom development or modification of the TriTech Software System module associated with the RAILS System.</t>
  </si>
  <si>
    <t xml:space="preserve">Provide annual renewal of RemedyForce proprietary software used by the Help Desk. </t>
  </si>
  <si>
    <r>
      <t>Provide services to coordinate and manage the scheduling of events and meetings at the MTC building at 101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 in Oakland.</t>
    </r>
  </si>
  <si>
    <t xml:space="preserve">Provide SEL equipment training to the traction power engineering staff. </t>
  </si>
  <si>
    <t xml:space="preserve">Provide a two (2) day Auditor Transition Training course to provide approaches to auditing for the existing AQS Management System. </t>
  </si>
  <si>
    <t>Provide utility cart safety training for safe operation to reduce the number of accidents.</t>
  </si>
  <si>
    <t xml:space="preserve">Provide business writing training to BART employees to develop skills for producing clear and precise professional quality documents. </t>
  </si>
  <si>
    <t xml:space="preserve">Provide legal services regarding probate issues. </t>
  </si>
  <si>
    <t xml:space="preserve">Provide an 18-month lease for five (5) new vehicles for PD&amp;C to support capital projects. </t>
  </si>
  <si>
    <t xml:space="preserve">Provide for the monthly managed service fees and equipment necessary for the live video streaming of BART Board of Director’s meetings.  </t>
  </si>
  <si>
    <t xml:space="preserve">Provide annual maintenance services for five (5) fork lift vehicles for use in District facilities. </t>
  </si>
  <si>
    <t xml:space="preserve">Provide 167-30 second radio advertising spots on Univision Radio to inform the public of the HMC track closure and disruption of service. </t>
  </si>
  <si>
    <t>13759/      6M1091</t>
  </si>
  <si>
    <t>13758/      6M7259</t>
  </si>
  <si>
    <t>13789/      PO# 21072</t>
  </si>
  <si>
    <t>13818/      6M1093</t>
  </si>
  <si>
    <t>13821/      PO# 16496</t>
  </si>
  <si>
    <t xml:space="preserve">Provide temporary marketing assistance for media planning related to the track closures. </t>
  </si>
  <si>
    <t>Provide consulting services to create a Pavement Management System to assist the District with the management.</t>
  </si>
  <si>
    <t>Provide 260-30 second advertising spots for BART.</t>
  </si>
  <si>
    <t>Provide radio advertising.</t>
  </si>
  <si>
    <t>Provide services to clean uniforms and safety runner rugs and rags.</t>
  </si>
  <si>
    <t>Provide services to maintain and repair bicycle lockers.</t>
  </si>
  <si>
    <t>17-27-01</t>
  </si>
  <si>
    <t>17-27-02</t>
  </si>
  <si>
    <t>Premedia Systems, Inc.</t>
  </si>
  <si>
    <t>Consolidated Printers, Inc.</t>
  </si>
  <si>
    <t>13830/      6M7242</t>
  </si>
  <si>
    <t>Provide consulting services to update software used to generate timetables, fare instruments for brochures, machine front fare charts.</t>
  </si>
  <si>
    <t>Provide the printing of 650,000 BART Fares and Schedules rack brochures to replenish the inventory available for distribution to stations.</t>
  </si>
  <si>
    <t>17-28-01</t>
  </si>
  <si>
    <t>17-28-02</t>
  </si>
  <si>
    <t>17-28-03</t>
  </si>
  <si>
    <t xml:space="preserve">Provide as-needed repair services for elevator/escalator equipment to comply with State and ADA requirements. </t>
  </si>
  <si>
    <t xml:space="preserve">Provide legal services to defend the District in a litigation matter relating to potential violations of applicable statues. </t>
  </si>
  <si>
    <t xml:space="preserve">Provide services to furnish and install hi-rail equipment, crane, MVDD system and specialized maintenance equipment. </t>
  </si>
  <si>
    <t>W2W Fit Pit System</t>
  </si>
  <si>
    <t>13540/      6M1074</t>
  </si>
  <si>
    <t>17-29-01</t>
  </si>
  <si>
    <t>17-29-02</t>
  </si>
  <si>
    <t>17-29-03</t>
  </si>
  <si>
    <t>17-29-04</t>
  </si>
  <si>
    <t>17-29-05</t>
  </si>
  <si>
    <t>Anixter, Inc.</t>
  </si>
  <si>
    <t>East Bay Veterinary</t>
  </si>
  <si>
    <t>Donnoe &amp; Associates, Inc.</t>
  </si>
  <si>
    <t>Imperial College Consultants</t>
  </si>
  <si>
    <t>Lawrence N. Blum, Ph.D., Inc.</t>
  </si>
  <si>
    <t>13817/      PO# 18401</t>
  </si>
  <si>
    <t>13826/      PO# 18404</t>
  </si>
  <si>
    <t>Provide veterinary services for regular checkups and injury care for police canines.</t>
  </si>
  <si>
    <t xml:space="preserve">Provide services to conduct job analyses and assist the District in creating and replacing pre-employment exams. </t>
  </si>
  <si>
    <t xml:space="preserve">Provide BART a one (1) year membership to participate in the International Suburban Benchmarking Rail Group. </t>
  </si>
  <si>
    <t xml:space="preserve">Provide consulting services and interviews for the BART Police Departments Trauma Response Team. </t>
  </si>
  <si>
    <t xml:space="preserve">Provide services to configure wireless network to export videos from BART cars to a central server. </t>
  </si>
  <si>
    <t>17-30-01</t>
  </si>
  <si>
    <t>17-30-02</t>
  </si>
  <si>
    <t>17-30-03</t>
  </si>
  <si>
    <t>17-30-04</t>
  </si>
  <si>
    <t>17-30-05</t>
  </si>
  <si>
    <t>17-30-06</t>
  </si>
  <si>
    <t>17-30-07</t>
  </si>
  <si>
    <t>17-30-08</t>
  </si>
  <si>
    <t>17-30-09</t>
  </si>
  <si>
    <t>17-30-10</t>
  </si>
  <si>
    <t>iHeart Meda-KMEL</t>
  </si>
  <si>
    <t>Bay Area News Group</t>
  </si>
  <si>
    <t>The Demarcus Group</t>
  </si>
  <si>
    <t>Entercom San Francisco KOIT/KBLX</t>
  </si>
  <si>
    <t>Prudential Overall Supply</t>
  </si>
  <si>
    <t>Allied Network Solutions</t>
  </si>
  <si>
    <t>Chinese Chamber of Commerce</t>
  </si>
  <si>
    <t xml:space="preserve">Provide 237-30 second radio advertising spots to inform the public of the M85 Track Closure and disruption of service.  </t>
  </si>
  <si>
    <t>Provide 196-30 second radio advertising spots to inform the public of the M85 Track Closure and disruption of service.</t>
  </si>
  <si>
    <t xml:space="preserve">Provide eNews broadcasting for the performance-based RTB display and banner ads campaign and retargeting. </t>
  </si>
  <si>
    <t xml:space="preserve">Provide consulting services for community outreach assistance for the BART to Livermore Extension Project. </t>
  </si>
  <si>
    <t xml:space="preserve">Provide 108-30 second radio advertising spots to promote BART ridership during the holidays. </t>
  </si>
  <si>
    <t xml:space="preserve">Provide for the print production of BART platform train schedules to reflect updates relevant to the Warm Springs extension. </t>
  </si>
  <si>
    <t xml:space="preserve">Provide EDACs Virtual Training of the above ground radio system to communications technicians required to maintain the system. </t>
  </si>
  <si>
    <t xml:space="preserve">Provide walk-on and scraper mats to protect rail vehicle floors from soiling during maintenance operations. </t>
  </si>
  <si>
    <t>Provide annual maintenance renewal for Adobe Enterprise Termed License Agreement.</t>
  </si>
  <si>
    <t xml:space="preserve">Provide sponsorship for the 2017 Southwest Airlines Chinese New Year Festival and Parade. </t>
  </si>
  <si>
    <t>17-31-01</t>
  </si>
  <si>
    <t>17-31-02</t>
  </si>
  <si>
    <t>17-31-03</t>
  </si>
  <si>
    <t>17-31-04</t>
  </si>
  <si>
    <t>17-31-05</t>
  </si>
  <si>
    <t>17-31-06</t>
  </si>
  <si>
    <t>17-31-07</t>
  </si>
  <si>
    <t>17-31-08</t>
  </si>
  <si>
    <t>Grant Development and Reporting</t>
  </si>
  <si>
    <t>Simmons Machine Tool Corporation</t>
  </si>
  <si>
    <t>Joseph A. Hearst, Esq.</t>
  </si>
  <si>
    <t>F. D. Thomas, Inc.</t>
  </si>
  <si>
    <t>Zell &amp; Associates</t>
  </si>
  <si>
    <t>13845/      PO# 19616</t>
  </si>
  <si>
    <t>13878/      6M1082</t>
  </si>
  <si>
    <t xml:space="preserve">Provide Web advertisement to inform the public of the M85 Track closure and disruption of service. </t>
  </si>
  <si>
    <t xml:space="preserve">Provide Social Studio software license subscription. </t>
  </si>
  <si>
    <t xml:space="preserve">Provide services to modify the wheel trueing machine cutter bodies for the new car wheel profile. </t>
  </si>
  <si>
    <t>Provide advice on an appellate matter.</t>
  </si>
  <si>
    <t>Provide cleaning and environmental sanitizing of escalators.</t>
  </si>
  <si>
    <t xml:space="preserve">Provide public affairs services in Contra Costa and Alameda County to assist BART with a regional Master Plan. </t>
  </si>
  <si>
    <t xml:space="preserve">Provide the rental of heavy equipment required for the A15 interlocking rebuild project used for the long term track infrastructure. </t>
  </si>
  <si>
    <t>Provide maintenance renewal of software and services to ensure authentication when signing onto cloud-based servers.</t>
  </si>
  <si>
    <t>17-32-01</t>
  </si>
  <si>
    <t>17-32-02</t>
  </si>
  <si>
    <t>17-32-03</t>
  </si>
  <si>
    <t>17-32-04</t>
  </si>
  <si>
    <t>17-32-05</t>
  </si>
  <si>
    <t>17-32-06</t>
  </si>
  <si>
    <t>17-32-07</t>
  </si>
  <si>
    <t>17-32-08</t>
  </si>
  <si>
    <t>17-32-09</t>
  </si>
  <si>
    <t>17-32-10</t>
  </si>
  <si>
    <t>17-32-11</t>
  </si>
  <si>
    <t>17-32-12</t>
  </si>
  <si>
    <t>17-32-13</t>
  </si>
  <si>
    <t>Cash Handling Building</t>
  </si>
  <si>
    <t>Government &amp; Community Relations</t>
  </si>
  <si>
    <t>Learfield Communications, Inc.</t>
  </si>
  <si>
    <t>Acumen Building Enterprise, Inc.</t>
  </si>
  <si>
    <t>Conga</t>
  </si>
  <si>
    <t>Certifield Folder Display Service, Inc.</t>
  </si>
  <si>
    <t>Arborscience</t>
  </si>
  <si>
    <t>Entercom San Francisco KOIT/Q102.1</t>
  </si>
  <si>
    <t>KQED-FM</t>
  </si>
  <si>
    <t>Automatic Fire</t>
  </si>
  <si>
    <t>Capital Investment Grants Working Group</t>
  </si>
  <si>
    <t>14009/      PO# 22111</t>
  </si>
  <si>
    <t>14014/      PO# 19053</t>
  </si>
  <si>
    <t xml:space="preserve">Provide services to promote BART ridership at Cal Berkeley sporting events. </t>
  </si>
  <si>
    <t xml:space="preserve">Provide repairs and services to upgrade specialized software in support of the High Speed Ticket Encoder (HSTE-II). </t>
  </si>
  <si>
    <t xml:space="preserve">Provide software subscription. </t>
  </si>
  <si>
    <t xml:space="preserve">Provide the placement of BARTable brochures and maps in display rack(s) to promote ridership to the SF Airport. </t>
  </si>
  <si>
    <t xml:space="preserve">Provide the printing of 50,000 Transit Connections brochures to replenish the inventory available for distribution to stations. </t>
  </si>
  <si>
    <t xml:space="preserve">Provide services to conduct a hazard assessment of trees within falling distance of the BART tracks. </t>
  </si>
  <si>
    <t>Provide 35-30 second radio advertising spots for public awareness of BART’s new Fleet of the Future, and to promote BART ridership.</t>
  </si>
  <si>
    <t>Provide 94-15 second radio advertising spots to promote BART ridership and public awareness of the BARTable program.</t>
  </si>
  <si>
    <t xml:space="preserve">Provide 125-60 second advertising spots to promote BART ridership during the holidays. </t>
  </si>
  <si>
    <t>Provide for the printing of 35,000 BART Safety Guides in English and Vietnamese rack brochures.</t>
  </si>
  <si>
    <t xml:space="preserve">Provide for the printing of BART Fares and Schedules Brochure reflecting fares and schedules for the Warm Springs Extension. </t>
  </si>
  <si>
    <t xml:space="preserve">Provide services to test and repair fire suppression systems. </t>
  </si>
  <si>
    <t xml:space="preserve">Provide technical assistance with the Capital Investment Grants (CIG) program. </t>
  </si>
  <si>
    <t>17-33-01</t>
  </si>
  <si>
    <t>17-33-02</t>
  </si>
  <si>
    <t>17-33-03</t>
  </si>
  <si>
    <t>17-33-04</t>
  </si>
  <si>
    <t>17-33-05</t>
  </si>
  <si>
    <t>17-33-06</t>
  </si>
  <si>
    <t>17-33-07</t>
  </si>
  <si>
    <t>17-33-08</t>
  </si>
  <si>
    <t>17-33-09</t>
  </si>
  <si>
    <t>17-33-10</t>
  </si>
  <si>
    <t>17-33-11</t>
  </si>
  <si>
    <t>17-33-12</t>
  </si>
  <si>
    <t>17-33-13</t>
  </si>
  <si>
    <t>iHeart Meda</t>
  </si>
  <si>
    <t>Entercom Communications</t>
  </si>
  <si>
    <t xml:space="preserve">Provide BARTable theme advertising on K101 Radio promoting ridership during off-peak and leisure events. </t>
  </si>
  <si>
    <t xml:space="preserve">Provide KISQ Radio advertising to advise the public of service interruptions due to the M85 shutdown to perform track repair work. </t>
  </si>
  <si>
    <t>Provide KOSF Radio advertising to advise the public of service interruptions due to the M85 shutdown to perform track repair work.</t>
  </si>
  <si>
    <t xml:space="preserve">Provide K101 Radio advertising to advise the public of service interruptions due to the M85 shutdown to perform track repair work. </t>
  </si>
  <si>
    <t>Provide KYLD Radio advertising to advise the public of service interruptions due to the M85 shutdown to perform track repair work.</t>
  </si>
  <si>
    <t xml:space="preserve">Provide KCBS Radio advertising to advise the public of service interruptions due to the M85 shutdown to perform track repair work. </t>
  </si>
  <si>
    <t xml:space="preserve">Provide radio advertising to promote ridership during the holiday seasons. </t>
  </si>
  <si>
    <t xml:space="preserve">Provide KLLC Radio advertising for BART’s Community Calendar. </t>
  </si>
  <si>
    <t xml:space="preserve">Provide KMVQ Radio advertising for BART’s Community Calendar. </t>
  </si>
  <si>
    <t xml:space="preserve">Provide radio advertising to promote ridership during the holiday season. </t>
  </si>
  <si>
    <t>Provide KMVQ-FM radio advertising to promote ridership during the holiday seasons.</t>
  </si>
  <si>
    <t xml:space="preserve">Provide KCBS-AM radio advertising to promote ridership during the holiday seasons. </t>
  </si>
  <si>
    <t xml:space="preserve">Provide KBLX/Q102.1 radio advertising to promote ridership for the Black History month celebration events. </t>
  </si>
  <si>
    <t>Cancelled</t>
  </si>
  <si>
    <t>17-34-01</t>
  </si>
  <si>
    <t>17-34-02</t>
  </si>
  <si>
    <t>17-34-03</t>
  </si>
  <si>
    <t xml:space="preserve">Provide radio advertising to inform the public of the M85 BART Station closure and disruption of service. </t>
  </si>
  <si>
    <t xml:space="preserve">Provide radio advertising for BART’s Community Calendar. </t>
  </si>
  <si>
    <t>17-35-01</t>
  </si>
  <si>
    <t>17-35-02</t>
  </si>
  <si>
    <t>17-35-03</t>
  </si>
  <si>
    <t>17-35-04</t>
  </si>
  <si>
    <t>Magnetech Industrial Services, Inc.</t>
  </si>
  <si>
    <t>Athletics Investment Group LLC</t>
  </si>
  <si>
    <t>Alameda County Sheriff</t>
  </si>
  <si>
    <t>Provide services to repair damaged train TX1 and L1 transformers.</t>
  </si>
  <si>
    <t xml:space="preserve">Provide services to promote BART ridership at Oakland Athletics games. </t>
  </si>
  <si>
    <t xml:space="preserve">Provide facilities for yearly firearms training for Police Officers. </t>
  </si>
  <si>
    <t>17-36-01</t>
  </si>
  <si>
    <t>17-36-02</t>
  </si>
  <si>
    <t>17-36-03</t>
  </si>
  <si>
    <t>17-36-04</t>
  </si>
  <si>
    <t>17-36-05</t>
  </si>
  <si>
    <t>17-36-06</t>
  </si>
  <si>
    <t>17-36-07</t>
  </si>
  <si>
    <t>Insurance</t>
  </si>
  <si>
    <t>Cintas Corporation</t>
  </si>
  <si>
    <t>Precision Measurements Inc.</t>
  </si>
  <si>
    <t>Linkedin</t>
  </si>
  <si>
    <t>Transportation Certification Services (TCS)</t>
  </si>
  <si>
    <t>George Hills Company</t>
  </si>
  <si>
    <t>Verge Designs</t>
  </si>
  <si>
    <t>14147/      6M7241</t>
  </si>
  <si>
    <t>14126/      PO# 20863</t>
  </si>
  <si>
    <t xml:space="preserve">Provide a maintenance program to lease 3 Automatic External Defibrillator (AED) units.  </t>
  </si>
  <si>
    <t xml:space="preserve">Provide calibration and repair services for Rolling Stock &amp; Shops equipment of electrical tools and test equipment. </t>
  </si>
  <si>
    <t>Provide advertisement of BART’s job announcements on a social network website to broaden the District’s ability to fill job vacancies.</t>
  </si>
  <si>
    <t>Provide a two-phase training program for 1) mechanical/operations airbrake training and 2) a train-the-trainer program.</t>
  </si>
  <si>
    <t xml:space="preserve">Provide consulting services for public liability claims adjustment services. </t>
  </si>
  <si>
    <t xml:space="preserve">Provide creative services for visual branding and communications campaigns and program design services. </t>
  </si>
  <si>
    <t xml:space="preserve">Provide cloud-based Safety Data sheet (SDS) management and chemical data management solutions. </t>
  </si>
  <si>
    <t>17-37-01</t>
  </si>
  <si>
    <t>17-37-02</t>
  </si>
  <si>
    <t>17-37-03</t>
  </si>
  <si>
    <t>Portlight Technology Consulting</t>
  </si>
  <si>
    <t>Kramer Workplace Investigations</t>
  </si>
  <si>
    <t>14191/      6M5117</t>
  </si>
  <si>
    <t xml:space="preserve">Provide services to evaluate the structure of the BART Citizen Oversight Model. </t>
  </si>
  <si>
    <t>Provide phone and web support for 33 IBM Maximo servers.</t>
  </si>
  <si>
    <t xml:space="preserve">Provide specialized investigation services to support mediation actions. </t>
  </si>
  <si>
    <t>17-38-01</t>
  </si>
  <si>
    <t>17-38-02</t>
  </si>
  <si>
    <t>17-38-03</t>
  </si>
  <si>
    <t>Standard Meter Lab</t>
  </si>
  <si>
    <t xml:space="preserve">Provide service to calibrate test equipment to comply with CPUC and ISO standards. </t>
  </si>
  <si>
    <t>Provide professional services to assist in the expansion of business processes built on the Salesforce software foundation.</t>
  </si>
  <si>
    <t xml:space="preserve">Provide professional services to assist in the expansion of business processes built on the Salesforce software foundation. </t>
  </si>
  <si>
    <t>17-39-01</t>
  </si>
  <si>
    <t>17-39-02</t>
  </si>
  <si>
    <t>17-39-03</t>
  </si>
  <si>
    <t>17-39-04</t>
  </si>
  <si>
    <t>17-39-05</t>
  </si>
  <si>
    <t>Martinez Welding</t>
  </si>
  <si>
    <t>14163/      PO# 16913</t>
  </si>
  <si>
    <t xml:space="preserve">Provide the rental of one (1) trailer at the Richmond Yard to be used for training purposes. </t>
  </si>
  <si>
    <t xml:space="preserve">Provide powder coating services to repair drain pans. </t>
  </si>
  <si>
    <t xml:space="preserve">Provide services to repair and maintain pressure washing equipment. </t>
  </si>
  <si>
    <t>Provide KCBS Radio advertising to advise the public of service interruptions due to the M85 shutdown to perform track repair work.</t>
  </si>
  <si>
    <t xml:space="preserve">Provide 30 second radio advertising spots to notify BART Patrons of pending weekend closures. </t>
  </si>
  <si>
    <t>17-40-01</t>
  </si>
  <si>
    <t>17-40-02</t>
  </si>
  <si>
    <t>17-40-03</t>
  </si>
  <si>
    <t>17-40-04</t>
  </si>
  <si>
    <t>Shannon Hake</t>
  </si>
  <si>
    <t>Imprenta Communications Group</t>
  </si>
  <si>
    <t>Miler 3 Consulting</t>
  </si>
  <si>
    <t xml:space="preserve">Provide consulting services to complete assignments that remained incomplete when an employee vacated a position. </t>
  </si>
  <si>
    <t xml:space="preserve">Provide bottled water for all District Break Rooms to comply with provisions of the Collective Bargaining Agreement. </t>
  </si>
  <si>
    <t>Provide Post-study Support in the development and implementation of methodologies.</t>
  </si>
  <si>
    <t>Provide services to expand the outreach and marketing effort to engage small businesses in contracts resulting.</t>
  </si>
  <si>
    <t>17-41-01</t>
  </si>
  <si>
    <t>17-41-02</t>
  </si>
  <si>
    <t>17-41-03</t>
  </si>
  <si>
    <t>17-41-04</t>
  </si>
  <si>
    <t>Bay Area Floor Machine</t>
  </si>
  <si>
    <t>Industrial Battery Service</t>
  </si>
  <si>
    <t>Atlantic Training</t>
  </si>
  <si>
    <t>Level II</t>
  </si>
  <si>
    <t>14162/      PO# 16858</t>
  </si>
  <si>
    <t>Provide services to repair and maintain floor scrubber machines.</t>
  </si>
  <si>
    <t xml:space="preserve">Provide for the rental of battery banks to backup UPS systems for train control rooms. </t>
  </si>
  <si>
    <t xml:space="preserve">Provide online driver safety training to reduce accidents and increase driver awareness for all BART vehicle operators on and off the job. </t>
  </si>
  <si>
    <t xml:space="preserve">Provide annual proprietary software maintenance renewal. </t>
  </si>
  <si>
    <t>17-42-01</t>
  </si>
  <si>
    <t>17-42-02</t>
  </si>
  <si>
    <t>Ripple Effect Media</t>
  </si>
  <si>
    <t>14207/      6M7240</t>
  </si>
  <si>
    <t xml:space="preserve">Provide on-call videography and editing services for BARTtv projects. </t>
  </si>
  <si>
    <t xml:space="preserve">Provide creative services to update the visual design of the BART primary website for ease of use. </t>
  </si>
  <si>
    <t>17-43-01</t>
  </si>
  <si>
    <t>17-43-02</t>
  </si>
  <si>
    <t>17-43-03</t>
  </si>
  <si>
    <t>17-43-04</t>
  </si>
  <si>
    <t>17-43-05</t>
  </si>
  <si>
    <t>Transsight</t>
  </si>
  <si>
    <t>Katherine J. Thomson</t>
  </si>
  <si>
    <t>Microbiz Security Company</t>
  </si>
  <si>
    <t xml:space="preserve">Provide an evaluation process for the replacement of the BART QuickPlanner. </t>
  </si>
  <si>
    <t>Provide arbitration and mediation services by a Consultant chosen pursuant to the District’s collective bargaining agreement requirements.</t>
  </si>
  <si>
    <t xml:space="preserve">Provide the installation of card readers and security software for access card entrance at HTC. </t>
  </si>
  <si>
    <t>FY21</t>
  </si>
  <si>
    <t>FY22</t>
  </si>
  <si>
    <t>17-44-01</t>
  </si>
  <si>
    <t>17-44-02</t>
  </si>
  <si>
    <t>17-44-03</t>
  </si>
  <si>
    <t>17-45-01</t>
  </si>
  <si>
    <t>17-45-02</t>
  </si>
  <si>
    <t>17-45-03</t>
  </si>
  <si>
    <t>17-45-04</t>
  </si>
  <si>
    <t>17-45-05</t>
  </si>
  <si>
    <t>17-45-06</t>
  </si>
  <si>
    <t>17-45-07</t>
  </si>
  <si>
    <t>17-45-08</t>
  </si>
  <si>
    <t>17-45-09</t>
  </si>
  <si>
    <t>17-45-10</t>
  </si>
  <si>
    <t>17-45-11</t>
  </si>
  <si>
    <t>17-45-12</t>
  </si>
  <si>
    <t>17-45-13</t>
  </si>
  <si>
    <t>17-45-14</t>
  </si>
  <si>
    <t>AT &amp; T</t>
  </si>
  <si>
    <t>Electric Motor Shop, Inc.</t>
  </si>
  <si>
    <t xml:space="preserve">Provide services to relocate ten (10) bicycle locker pods to an alternate location at the Concord Station. </t>
  </si>
  <si>
    <t xml:space="preserve">Provide teleconferencing services. </t>
  </si>
  <si>
    <t xml:space="preserve">Provide services to overhaul an electric motor critical to the underground fire-Safety-Life ventilation system. </t>
  </si>
  <si>
    <t>Ultra Wash, Inc.</t>
  </si>
  <si>
    <t>Weatherproofing Technologies, Inc.</t>
  </si>
  <si>
    <t>Askreply, Inc. (DBA B2Gnow)</t>
  </si>
  <si>
    <t>Chargepoint, Inc.</t>
  </si>
  <si>
    <t>Trip Stop Sidewalk Repair, Inc.</t>
  </si>
  <si>
    <t>Vertical Transportation Excellence</t>
  </si>
  <si>
    <t>Motion Control Engineering</t>
  </si>
  <si>
    <t>A Step Above</t>
  </si>
  <si>
    <t>Alinc Consulting, Inc.</t>
  </si>
  <si>
    <t>14362/      6M1041</t>
  </si>
  <si>
    <t xml:space="preserve">Provide cleaning services for the removal of debris and water from District generators. </t>
  </si>
  <si>
    <t>Provide services for roof assessment within BART secured facilities to establish a priority ranking for current and future maintenance.</t>
  </si>
  <si>
    <t>Provide software licenses, annual support and training.</t>
  </si>
  <si>
    <t>Provide a 3-year network service plan and maintenance of the electric vehicle charging stations at Warm Springs.</t>
  </si>
  <si>
    <t xml:space="preserve">Provide sidewalk trip hazard repair using concrete sawcutting at A-Line station parking lots, sidewalks, and entrances. </t>
  </si>
  <si>
    <t xml:space="preserve">Provide ongoing legal services for BART’s Police Department. </t>
  </si>
  <si>
    <t>assistance to develop and implement industry best practices for the Provide improvement of daily maintenance to ensure the District complies with State and ADA requirements.</t>
  </si>
  <si>
    <t>Provide ticketing services for airport passengers</t>
  </si>
  <si>
    <t>FY20</t>
  </si>
  <si>
    <t>17-46-01</t>
  </si>
  <si>
    <t>17-46-02</t>
  </si>
  <si>
    <t>17-46-03</t>
  </si>
  <si>
    <t>17-46-04</t>
  </si>
  <si>
    <t>17-46-05</t>
  </si>
  <si>
    <t>17-46-06</t>
  </si>
  <si>
    <t>17-46-07</t>
  </si>
  <si>
    <t>17-46-08</t>
  </si>
  <si>
    <t>17-46-09</t>
  </si>
  <si>
    <t>17-46-10</t>
  </si>
  <si>
    <t>Mariposa Leadership, Inc.</t>
  </si>
  <si>
    <t>Univision Radio KSOL-FM</t>
  </si>
  <si>
    <t>Univision Radio KRBG-FM</t>
  </si>
  <si>
    <t>City Print &amp; Mail</t>
  </si>
  <si>
    <t>Thomson Reuters</t>
  </si>
  <si>
    <t>Doug Neal</t>
  </si>
  <si>
    <t>Buie Porter Munson &amp; Siller Enterprise</t>
  </si>
  <si>
    <t>Clark Pest Control</t>
  </si>
  <si>
    <t>Gamepod Combat Zone, Inc.</t>
  </si>
  <si>
    <t>14432/      PO# 16653</t>
  </si>
  <si>
    <t>14484/      PO# 19076</t>
  </si>
  <si>
    <t>Provide leadership development training and customized coaching services for managers and executive level employees.</t>
  </si>
  <si>
    <t>Provide 124-30 second radio advertising spots on Univision Radio to inform the public of the A15 track closure and disruption of services.</t>
  </si>
  <si>
    <t>Provide 126-30 second radio advertising spots on Univision Radio to inform the public of the A15 track closure and disruption of services.</t>
  </si>
  <si>
    <t xml:space="preserve">Provide printing, mailing, and postage of flyers to inform the public of the A15 track closure and disruption of services. </t>
  </si>
  <si>
    <t xml:space="preserve">Provide a monthly subscription service for online reporting for BART Police personnel. </t>
  </si>
  <si>
    <t>Provide services to develop software for the Enterprise Geographic Information System (EGIS).</t>
  </si>
  <si>
    <t xml:space="preserve">Provide community outreach services in the Bayview Hunters Point area to certify small businesses and women and minority owned businesses. </t>
  </si>
  <si>
    <t xml:space="preserve">Provide on-call bird and pest control and removal services District-wide. </t>
  </si>
  <si>
    <t>Provide data entry of self-administered surveys for completion by BART passengers.</t>
  </si>
  <si>
    <t xml:space="preserve">Provide a law enforcement active shooter training for the BART Police Department. </t>
  </si>
  <si>
    <t>17-47-01</t>
  </si>
  <si>
    <t>17-47-02</t>
  </si>
  <si>
    <t>17-47-03</t>
  </si>
  <si>
    <t>17-47-04</t>
  </si>
  <si>
    <t>Segal Waters Consulting</t>
  </si>
  <si>
    <t>D-Co. Leaders and Training LLC</t>
  </si>
  <si>
    <t>Provide consulting services to create a Pavement Management System to assist the District.</t>
  </si>
  <si>
    <t xml:space="preserve">Provide consulting services for a job classification study to update compensation data for AFSCME employees. </t>
  </si>
  <si>
    <t xml:space="preserve">Provide an active shooter response, Patrol Officer course for BART’s Police Department. </t>
  </si>
  <si>
    <t>Provide professional services to perform adverting franchise industry research and to develop a financial model for the BART franchise.</t>
  </si>
  <si>
    <t>17-48-01</t>
  </si>
  <si>
    <t>17-48-02</t>
  </si>
  <si>
    <t>17-48-03</t>
  </si>
  <si>
    <t>17-48-04</t>
  </si>
  <si>
    <t>17-48-05</t>
  </si>
  <si>
    <t>17-48-06</t>
  </si>
  <si>
    <t>17-48-07</t>
  </si>
  <si>
    <t>17-48-08</t>
  </si>
  <si>
    <t>17-48-09</t>
  </si>
  <si>
    <t>17-48-10</t>
  </si>
  <si>
    <t>17-48-11</t>
  </si>
  <si>
    <t>17-48-12</t>
  </si>
  <si>
    <t>17-48-13</t>
  </si>
  <si>
    <t>17-48-14</t>
  </si>
  <si>
    <t>Cypress Mandela Training Center</t>
  </si>
  <si>
    <t>MP Radocy</t>
  </si>
  <si>
    <t>On Site Calibration Services, Inc.</t>
  </si>
  <si>
    <t>SAP America, Inc.</t>
  </si>
  <si>
    <t>Controle, LLC</t>
  </si>
  <si>
    <t>Jitterbit</t>
  </si>
  <si>
    <t>Datasplice</t>
  </si>
  <si>
    <t>Solufy</t>
  </si>
  <si>
    <t>Bragg Crane Service</t>
  </si>
  <si>
    <t>MTS Training Academy</t>
  </si>
  <si>
    <t>Kovarus</t>
  </si>
  <si>
    <t>Trustwave Holdings, Inc.</t>
  </si>
  <si>
    <t xml:space="preserve">Provide services to promote BART ridership at the 2017 Soccer Tournament sporting event. </t>
  </si>
  <si>
    <t>Provide onsite calibration services for mechanical tools and measuring devices to comply with PUC calibration requirements.</t>
  </si>
  <si>
    <t>Provide transcription services for arbitrations in compliance with the District’s collective bargaining agreement requirements.</t>
  </si>
  <si>
    <t xml:space="preserve">Provide services for maintenance, update the current server and increase the number of licenses. </t>
  </si>
  <si>
    <t xml:space="preserve">Provide for the annual maintenance renewal for the monitoring of proprietary software for critical network systems. </t>
  </si>
  <si>
    <t xml:space="preserve">Provide software licenses and support for the District’s “Legal Hold” process for archival email retention. </t>
  </si>
  <si>
    <t>Provide software that will enable the District to create a platform for coordinating identity management between disparate applications.</t>
  </si>
  <si>
    <t xml:space="preserve">Provide for the annual software maintenance renewal. </t>
  </si>
  <si>
    <t xml:space="preserve">Provide maintenance renewal and upgrades on the existing AKWIRE Visual Scheduler for Maximo. </t>
  </si>
  <si>
    <t xml:space="preserve">Provide crane services for the removal and installation of a transformer damaged by fire at the Walnut Creek BART Station. </t>
  </si>
  <si>
    <t xml:space="preserve">Provide consulting services to record panoramic imagery and LiDAR on the new eBART line. </t>
  </si>
  <si>
    <t>Provide behind the wheel training for Class A and Class B drivers required for District staff commercial licenses to operate equipment.</t>
  </si>
  <si>
    <t>Provide annual testing for the Payment Card Industry Data Security Standards (PCI DSS).</t>
  </si>
  <si>
    <t xml:space="preserve">Provide annual maintenance renewal and support for existing Infoblox hardware. </t>
  </si>
  <si>
    <t>17-49-01</t>
  </si>
  <si>
    <t>17-49-02</t>
  </si>
  <si>
    <t>17-49-03</t>
  </si>
  <si>
    <t>17-49-04</t>
  </si>
  <si>
    <t>17-49-05</t>
  </si>
  <si>
    <t>Gannett-Fleming</t>
  </si>
  <si>
    <t>Giro</t>
  </si>
  <si>
    <t>Aon Risk Services West, Inc.</t>
  </si>
  <si>
    <t>Gancos &amp; Sons</t>
  </si>
  <si>
    <t>14529/      6M4524</t>
  </si>
  <si>
    <t xml:space="preserve">Provide training services for conducting the Performance Evaluation process for Non-Represented and AFSCME employees. </t>
  </si>
  <si>
    <t xml:space="preserve">Provide services to support BART Engineering in addressing traction power substation related issues. </t>
  </si>
  <si>
    <t xml:space="preserve">Provide a subscription for scheduling software to support train operators and station agent employees. </t>
  </si>
  <si>
    <t xml:space="preserve">Provide an interim Agreement for insurance brokerage services for the District’s Insurance Department. </t>
  </si>
  <si>
    <t xml:space="preserve">Provide services for the installation of pallet racking for a new Hayward warehouse facility. </t>
  </si>
  <si>
    <t>17-50-01</t>
  </si>
  <si>
    <t>17-50-02</t>
  </si>
  <si>
    <t>17-50-03</t>
  </si>
  <si>
    <t>17-50-04</t>
  </si>
  <si>
    <t>17-50-05</t>
  </si>
  <si>
    <t>Transportation Learning Center</t>
  </si>
  <si>
    <t>National Elevator Inspection Services (Bureau Veritas)</t>
  </si>
  <si>
    <t>Foothill Transcription Company, Inc.</t>
  </si>
  <si>
    <t>Krauthamer &amp; Associates, Inc.</t>
  </si>
  <si>
    <t>14554/      PO# 20463</t>
  </si>
  <si>
    <t>14623/      PO# 16849</t>
  </si>
  <si>
    <t>Provide technical support to assist the Transportation Department and its training staff.</t>
  </si>
  <si>
    <t xml:space="preserve">Provide the reprinting of 300,000 BART Transit Connections brochures to reflect service changes at the Warm Springs Station. </t>
  </si>
  <si>
    <t xml:space="preserve">Provide services to develop and implement a written maintenance control program with industry best practices. </t>
  </si>
  <si>
    <t xml:space="preserve">Provide transcription services for documenting investigations. </t>
  </si>
  <si>
    <t>Provide executive recruitment services to fill the AGM position for the Planning Development and Construction Department.</t>
  </si>
  <si>
    <t>17-51-01</t>
  </si>
  <si>
    <t>17-51-02</t>
  </si>
  <si>
    <t>17-51-03</t>
  </si>
  <si>
    <t>17-51-04</t>
  </si>
  <si>
    <t>17-51-05</t>
  </si>
  <si>
    <t>17-51-06</t>
  </si>
  <si>
    <t>17-51-07</t>
  </si>
  <si>
    <t>17-51-08</t>
  </si>
  <si>
    <t>Pursuit North</t>
  </si>
  <si>
    <t>Telepath Corporation</t>
  </si>
  <si>
    <t>Orkin</t>
  </si>
  <si>
    <t>Sharegate</t>
  </si>
  <si>
    <t>Telvent USA, LLC</t>
  </si>
  <si>
    <t>Imperva</t>
  </si>
  <si>
    <t>14497/      PO# 20782</t>
  </si>
  <si>
    <t xml:space="preserve">Provide storage services for Police evidence.  </t>
  </si>
  <si>
    <t xml:space="preserve">Provide specialized services for installing police equipment on BART’s patrol vehicles. </t>
  </si>
  <si>
    <t xml:space="preserve">Provide the reprinting of 300,000 BART Destination Guide brochures to replenish the inventory available for distribution to stations. </t>
  </si>
  <si>
    <t xml:space="preserve">Provide on-call pest control for the removal of pigeons. </t>
  </si>
  <si>
    <t xml:space="preserve">Provide Sharegate software to migrate data in SharePoint across the different application tiers. </t>
  </si>
  <si>
    <t>Provide for ARcFM, Fiber Manager, and Wavepoint annual proprietary software maintenance renewal.</t>
  </si>
  <si>
    <t xml:space="preserve">Provide for the annual proprietary software maintenance renewal and support for the network firewall. </t>
  </si>
  <si>
    <t>17-52-01</t>
  </si>
  <si>
    <t>17-52-02</t>
  </si>
  <si>
    <t>King American</t>
  </si>
  <si>
    <t xml:space="preserve">Provide emergency medical transportation services at the Embarcadero Station.  </t>
  </si>
  <si>
    <t xml:space="preserve">Provide services to furnish and install card readers and security software for access card entrance into the MET Building. </t>
  </si>
  <si>
    <t>17-53-01</t>
  </si>
  <si>
    <t>17-53-02</t>
  </si>
  <si>
    <t>Navex Global</t>
  </si>
  <si>
    <t>Provide for the rental of specialized powered cable reelers to support the 34.5 kV Cable Upgrade project.</t>
  </si>
  <si>
    <t xml:space="preserve">Provide on-line training for the prevention of sexual harassment and disability discrimination. </t>
  </si>
  <si>
    <t>17-54-01</t>
  </si>
  <si>
    <t>17-54-02</t>
  </si>
  <si>
    <t>17-54-03</t>
  </si>
  <si>
    <t>17-54-04</t>
  </si>
  <si>
    <t>17-54-05</t>
  </si>
  <si>
    <t>Bob Murray &amp; Associates</t>
  </si>
  <si>
    <t>Alec Lepe</t>
  </si>
  <si>
    <t>Avantgarde</t>
  </si>
  <si>
    <t>Transportation Technology Center, Inc. (TTCI)</t>
  </si>
  <si>
    <t>Michael Wertz</t>
  </si>
  <si>
    <t xml:space="preserve">Provide executive recruitment services to fill the Police Chief position for BART’s Police Department. </t>
  </si>
  <si>
    <t xml:space="preserve">Provide ridership analysis support and develop programming support for the Passenger Flow Model (PFM) 2.0 replacement project.  </t>
  </si>
  <si>
    <t xml:space="preserve">Provide software configuration and support services for existing software for the Web Application Firewall. </t>
  </si>
  <si>
    <t xml:space="preserve">Provide services to support the investigation of the mainline derailment of an in-service train in the M87 interlocking on May 20, 2017. </t>
  </si>
  <si>
    <t xml:space="preserve">Provide an original illustration for BART’s Facts Car Card Campaign. </t>
  </si>
  <si>
    <t>17-55-01</t>
  </si>
  <si>
    <t>17-55-02</t>
  </si>
  <si>
    <t>Quantum Spatial</t>
  </si>
  <si>
    <t xml:space="preserve">Provide project management services relative to the implementation of Salesforce software applications. </t>
  </si>
  <si>
    <t>Provide services for the proposed vendor to utilize previously collected data for the production of AutoCad drawing and files.</t>
  </si>
  <si>
    <t>17-56-01</t>
  </si>
  <si>
    <t>17-56-02</t>
  </si>
  <si>
    <t>17-56-03</t>
  </si>
  <si>
    <t>17-56-04</t>
  </si>
  <si>
    <t>17-56-05</t>
  </si>
  <si>
    <t>Controller/Treasurer</t>
  </si>
  <si>
    <t>Big Joe Handling Systems, Inc.</t>
  </si>
  <si>
    <t>Union Bank</t>
  </si>
  <si>
    <t>Accurate Poly Coating</t>
  </si>
  <si>
    <t>United Site Services</t>
  </si>
  <si>
    <t xml:space="preserve">Provide for the lease of a pallet racking system for the storage of record boxes at the Hayward Warehouse.  </t>
  </si>
  <si>
    <t xml:space="preserve">Provide funding to pay banking fees for third-party security custodial services. </t>
  </si>
  <si>
    <t xml:space="preserve">Provide services to repair the floors of two damaged revenue vehicles.  </t>
  </si>
  <si>
    <t xml:space="preserve">Provide services to maintain two 250-gallon waste tanks for restroom facilities in maintenance yards. </t>
  </si>
  <si>
    <t>Provide for the printing of 40,000 BART Basics in Korean and Vietnamese rack brochures.</t>
  </si>
  <si>
    <t>17-57-01</t>
  </si>
  <si>
    <t>17-57-02</t>
  </si>
  <si>
    <t>17-57-03</t>
  </si>
  <si>
    <t>17-57-04</t>
  </si>
  <si>
    <t>17-57-05</t>
  </si>
  <si>
    <t>17-57-06</t>
  </si>
  <si>
    <t>17-57-07</t>
  </si>
  <si>
    <t>17-57-08</t>
  </si>
  <si>
    <t>17-57-09</t>
  </si>
  <si>
    <t>17-57-10</t>
  </si>
  <si>
    <t>17-57-11</t>
  </si>
  <si>
    <t>Shi International Corporation</t>
  </si>
  <si>
    <t>Lahlou</t>
  </si>
  <si>
    <t>The Gotcha Group</t>
  </si>
  <si>
    <t>Cintas Uniform Company</t>
  </si>
  <si>
    <t>Black Box Network Services</t>
  </si>
  <si>
    <t>Neopost</t>
  </si>
  <si>
    <t>14947/      PO# 20582</t>
  </si>
  <si>
    <t xml:space="preserve">Provide services to configure RTAC and DPAC Automation Controllers for the new A-Line blocking scheme. </t>
  </si>
  <si>
    <t xml:space="preserve">Provide veterinary services for checkups for police canines. </t>
  </si>
  <si>
    <t xml:space="preserve">Provide annual renewal subscription license for proprietary software and maintenance support. </t>
  </si>
  <si>
    <t xml:space="preserve">Provide proprietary software to monitor all systemwide network equipment.  </t>
  </si>
  <si>
    <t xml:space="preserve">Provide for the reprinting of 20,000 Safety Guide brochures in English to replenish the inventory available for distribution to stations. </t>
  </si>
  <si>
    <t>Provide for the reprinting of 60,000 Safety Guide brochures in Spanish, Chinese, and Vietnamese.</t>
  </si>
  <si>
    <t>Provide advertising on kiosks at identified colleges for the BART Police Department.</t>
  </si>
  <si>
    <t xml:space="preserve">Provide dust mop rental services for use by Systems Service Workers for light cleaning of BART premises. </t>
  </si>
  <si>
    <t xml:space="preserve">Provide equipment and software for tracking of packages. </t>
  </si>
  <si>
    <t xml:space="preserve">Provide battery installation for the telecommunications switches at the LMA BART Station. </t>
  </si>
  <si>
    <t>17-58-01</t>
  </si>
  <si>
    <t>17-58-02</t>
  </si>
  <si>
    <t>3Sixty Mission Critical</t>
  </si>
  <si>
    <t>ABM Industry Groups, LLC</t>
  </si>
  <si>
    <t xml:space="preserve">Provide stationary engineering services for the Joseph P. Bort MetroCenter Building. </t>
  </si>
  <si>
    <t xml:space="preserve">Provide services for the repair and replacement of battery system switches for the District’s telephone system. </t>
  </si>
  <si>
    <t xml:space="preserve">Provide the rental of equipment including forklifts, generators, various other lifts, lighting equipment and trailers and containers. </t>
  </si>
  <si>
    <t xml:space="preserve">Provide a software program to manage data and develop reports for FTA reporting concerning the Disparity Study. </t>
  </si>
  <si>
    <t>Total Items</t>
  </si>
  <si>
    <t>Total Count Less $25K</t>
  </si>
  <si>
    <t>Total Count Between $25K to $50K</t>
  </si>
  <si>
    <t>Total Count Between $50K to $100K</t>
  </si>
  <si>
    <t>Over $100K</t>
  </si>
  <si>
    <t>Sole Source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</si>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</sst>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5" formatCode="[$$-409]#,##0"/>
    <numFmt numFmtId="168" formatCode="&quot;$&quot;#,##0"/>
    <numFmt numFmtId="173" formatCode="mm/dd/yy"/>
  </numFmts>
  <fonts count="1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68" fontId="2" fillId="0" borderId="1" xfId="0" applyNumberFormat="1" applyFont="1" applyBorder="1" applyAlignment="1" applyProtection="1">
      <alignment horizontal="center"/>
    </xf>
    <xf numFmtId="168" fontId="2" fillId="0" borderId="1" xfId="0" applyNumberFormat="1" applyFont="1" applyBorder="1" applyAlignment="1" applyProtection="1">
      <alignment horizontal="center" wrapText="1"/>
    </xf>
    <xf numFmtId="165" fontId="2" fillId="0" borderId="1" xfId="0" applyNumberFormat="1" applyFont="1" applyBorder="1" applyAlignment="1" applyProtection="1">
      <alignment horizontal="center"/>
    </xf>
    <xf numFmtId="9" fontId="2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0" xfId="0" applyNumberFormat="1" applyAlignment="1">
      <alignment horizontal="left"/>
    </xf>
    <xf numFmtId="49" fontId="2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/>
    <xf numFmtId="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8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9" fontId="5" fillId="0" borderId="0" xfId="0" applyNumberFormat="1" applyFont="1"/>
    <xf numFmtId="0" fontId="5" fillId="0" borderId="0" xfId="0" applyFont="1" applyAlignment="1">
      <alignment horizontal="center"/>
    </xf>
    <xf numFmtId="5" fontId="4" fillId="0" borderId="1" xfId="0" applyNumberFormat="1" applyFont="1" applyBorder="1"/>
    <xf numFmtId="0" fontId="5" fillId="0" borderId="1" xfId="0" applyFont="1" applyBorder="1" applyAlignment="1">
      <alignment wrapText="1"/>
    </xf>
    <xf numFmtId="5" fontId="0" fillId="0" borderId="0" xfId="0" applyNumberFormat="1"/>
    <xf numFmtId="5" fontId="6" fillId="0" borderId="0" xfId="0" applyNumberFormat="1" applyFont="1"/>
    <xf numFmtId="49" fontId="5" fillId="0" borderId="0" xfId="0" applyNumberFormat="1" applyFont="1" applyAlignment="1">
      <alignment horizontal="right"/>
    </xf>
    <xf numFmtId="0" fontId="0" fillId="0" borderId="0" xfId="0" applyAlignment="1"/>
    <xf numFmtId="168" fontId="6" fillId="0" borderId="0" xfId="0" applyNumberFormat="1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5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 applyProtection="1">
      <alignment wrapText="1"/>
    </xf>
    <xf numFmtId="6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5" fontId="4" fillId="0" borderId="1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 applyProtection="1">
      <alignment horizontal="right"/>
    </xf>
    <xf numFmtId="168" fontId="4" fillId="0" borderId="1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5" fontId="1" fillId="0" borderId="1" xfId="0" applyNumberFormat="1" applyFont="1" applyBorder="1" applyAlignment="1">
      <alignment wrapText="1"/>
    </xf>
    <xf numFmtId="5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 applyProtection="1">
      <alignment wrapText="1"/>
    </xf>
    <xf numFmtId="173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 applyProtection="1">
      <alignment horizontal="right"/>
    </xf>
    <xf numFmtId="0" fontId="0" fillId="0" borderId="1" xfId="0" applyBorder="1"/>
    <xf numFmtId="0" fontId="4" fillId="0" borderId="1" xfId="0" applyFont="1" applyBorder="1"/>
    <xf numFmtId="0" fontId="9" fillId="0" borderId="0" xfId="2" applyFont="1" applyAlignment="1">
      <alignment wrapText="1"/>
    </xf>
    <xf numFmtId="3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0" fontId="9" fillId="0" borderId="0" xfId="2" applyFont="1" applyAlignment="1"/>
    <xf numFmtId="6" fontId="10" fillId="0" borderId="0" xfId="0" applyNumberFormat="1" applyFont="1" applyAlignment="1">
      <alignment horizontal="center"/>
    </xf>
    <xf numFmtId="0" fontId="11" fillId="0" borderId="0" xfId="2" applyFont="1" applyBorder="1" applyAlignment="1">
      <alignment horizontal="left"/>
    </xf>
    <xf numFmtId="0" fontId="1" fillId="0" borderId="1" xfId="2" applyBorder="1"/>
    <xf numFmtId="0" fontId="12" fillId="0" borderId="1" xfId="2" applyFont="1" applyBorder="1" applyAlignment="1" applyProtection="1">
      <alignment horizontal="center" wrapText="1"/>
    </xf>
    <xf numFmtId="168" fontId="1" fillId="0" borderId="2" xfId="2" applyNumberFormat="1" applyBorder="1"/>
    <xf numFmtId="168" fontId="12" fillId="0" borderId="3" xfId="2" applyNumberFormat="1" applyFont="1" applyBorder="1" applyAlignment="1" applyProtection="1">
      <alignment horizontal="center"/>
    </xf>
    <xf numFmtId="0" fontId="13" fillId="0" borderId="0" xfId="2" applyFont="1" applyBorder="1" applyAlignment="1"/>
    <xf numFmtId="0" fontId="14" fillId="0" borderId="0" xfId="2" applyFont="1" applyAlignment="1">
      <alignment horizontal="center"/>
    </xf>
    <xf numFmtId="6" fontId="14" fillId="0" borderId="0" xfId="2" applyNumberFormat="1" applyFont="1" applyAlignment="1">
      <alignment horizontal="center"/>
    </xf>
    <xf numFmtId="0" fontId="15" fillId="0" borderId="0" xfId="2" applyFont="1" applyBorder="1" applyAlignment="1">
      <alignment vertical="center"/>
    </xf>
    <xf numFmtId="0" fontId="13" fillId="0" borderId="0" xfId="2" applyFont="1"/>
    <xf numFmtId="0" fontId="16" fillId="0" borderId="0" xfId="2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8.140625" style="12" customWidth="1"/>
    <col min="2" max="2" width="25" style="2" customWidth="1"/>
    <col min="3" max="3" width="23.140625" customWidth="1"/>
    <col min="4" max="4" width="12.140625" style="4" customWidth="1"/>
    <col min="5" max="5" width="58.42578125" style="2" customWidth="1"/>
    <col min="6" max="6" width="11.85546875" style="3" customWidth="1"/>
    <col min="7" max="7" width="11.42578125" style="3" customWidth="1"/>
    <col min="8" max="8" width="10.42578125" style="3" customWidth="1"/>
    <col min="9" max="9" width="11.42578125" customWidth="1"/>
    <col min="10" max="10" width="8.42578125" style="5" customWidth="1"/>
    <col min="11" max="12" width="5.85546875" style="1" customWidth="1"/>
    <col min="13" max="13" width="8.140625" customWidth="1"/>
    <col min="14" max="14" width="5" style="1" customWidth="1"/>
    <col min="15" max="15" width="11.5703125" customWidth="1"/>
    <col min="16" max="18" width="10.42578125" customWidth="1"/>
  </cols>
  <sheetData>
    <row r="1" spans="1:20" ht="24" x14ac:dyDescent="0.2">
      <c r="A1" s="13" t="s">
        <v>0</v>
      </c>
      <c r="B1" s="10" t="s">
        <v>6</v>
      </c>
      <c r="C1" s="10" t="s">
        <v>7</v>
      </c>
      <c r="D1" s="10" t="s">
        <v>12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13</v>
      </c>
      <c r="L1" s="10" t="s">
        <v>70</v>
      </c>
      <c r="M1" s="8" t="s">
        <v>3</v>
      </c>
      <c r="N1" s="8" t="s">
        <v>5</v>
      </c>
      <c r="O1" s="8" t="s">
        <v>16</v>
      </c>
      <c r="P1" s="8" t="s">
        <v>37</v>
      </c>
      <c r="Q1" s="8" t="s">
        <v>38</v>
      </c>
      <c r="R1" s="8" t="s">
        <v>970</v>
      </c>
      <c r="S1" s="8" t="s">
        <v>928</v>
      </c>
      <c r="T1" s="8" t="s">
        <v>929</v>
      </c>
    </row>
    <row r="2" spans="1:20" ht="26.25" customHeight="1" x14ac:dyDescent="0.2">
      <c r="A2" s="43" t="s">
        <v>86</v>
      </c>
      <c r="B2" s="45" t="s">
        <v>21</v>
      </c>
      <c r="C2" s="45" t="s">
        <v>77</v>
      </c>
      <c r="D2" s="54">
        <v>12737</v>
      </c>
      <c r="E2" s="46" t="s">
        <v>96</v>
      </c>
      <c r="F2" s="41">
        <v>65559</v>
      </c>
      <c r="G2" s="41">
        <v>65559</v>
      </c>
      <c r="H2" s="42">
        <v>0</v>
      </c>
      <c r="I2" s="49">
        <f>G2+H2</f>
        <v>65559</v>
      </c>
      <c r="J2" s="51">
        <f>IF(G2=0,100%,(I2-G2)/G2)</f>
        <v>0</v>
      </c>
      <c r="K2" s="48" t="s">
        <v>14</v>
      </c>
      <c r="L2" s="48" t="s">
        <v>14</v>
      </c>
      <c r="M2" s="38">
        <v>42766</v>
      </c>
      <c r="N2" s="48"/>
      <c r="O2" s="41">
        <v>65559</v>
      </c>
      <c r="P2" s="41"/>
      <c r="Q2" s="41"/>
      <c r="R2" s="41"/>
      <c r="S2" s="57"/>
      <c r="T2" s="57"/>
    </row>
    <row r="3" spans="1:20" s="15" customFormat="1" ht="26.25" customHeight="1" x14ac:dyDescent="0.2">
      <c r="A3" s="43" t="s">
        <v>87</v>
      </c>
      <c r="B3" s="46" t="s">
        <v>21</v>
      </c>
      <c r="C3" s="45" t="s">
        <v>93</v>
      </c>
      <c r="D3" s="54">
        <v>12776</v>
      </c>
      <c r="E3" s="46" t="s">
        <v>97</v>
      </c>
      <c r="F3" s="35">
        <f>99350*3</f>
        <v>298050</v>
      </c>
      <c r="G3" s="35">
        <f>99350*3</f>
        <v>298050</v>
      </c>
      <c r="H3" s="35">
        <v>0</v>
      </c>
      <c r="I3" s="49">
        <f t="shared" ref="I3:I66" si="0">G3+H3</f>
        <v>298050</v>
      </c>
      <c r="J3" s="51">
        <f t="shared" ref="J3:J48" si="1">IF(G3=0,100%,(I3-G3)/G3)</f>
        <v>0</v>
      </c>
      <c r="K3" s="48" t="s">
        <v>14</v>
      </c>
      <c r="L3" s="48" t="s">
        <v>14</v>
      </c>
      <c r="M3" s="38">
        <v>42916</v>
      </c>
      <c r="N3" s="48" t="s">
        <v>18</v>
      </c>
      <c r="O3" s="41">
        <v>99350</v>
      </c>
      <c r="P3" s="41">
        <v>99350</v>
      </c>
      <c r="Q3" s="41">
        <v>99350</v>
      </c>
      <c r="R3" s="41"/>
      <c r="S3" s="58"/>
      <c r="T3" s="58"/>
    </row>
    <row r="4" spans="1:20" s="15" customFormat="1" ht="26.25" customHeight="1" x14ac:dyDescent="0.2">
      <c r="A4" s="43" t="s">
        <v>88</v>
      </c>
      <c r="B4" s="46" t="s">
        <v>92</v>
      </c>
      <c r="C4" s="44" t="s">
        <v>94</v>
      </c>
      <c r="D4" s="39">
        <v>12885</v>
      </c>
      <c r="E4" s="46" t="s">
        <v>99</v>
      </c>
      <c r="F4" s="35">
        <v>67179</v>
      </c>
      <c r="G4" s="40">
        <v>67179</v>
      </c>
      <c r="H4" s="35">
        <v>0</v>
      </c>
      <c r="I4" s="49">
        <f t="shared" si="0"/>
        <v>67179</v>
      </c>
      <c r="J4" s="51">
        <f t="shared" si="1"/>
        <v>0</v>
      </c>
      <c r="K4" s="48" t="s">
        <v>14</v>
      </c>
      <c r="L4" s="48" t="s">
        <v>15</v>
      </c>
      <c r="M4" s="38">
        <v>42916</v>
      </c>
      <c r="N4" s="48"/>
      <c r="O4" s="41">
        <v>67179</v>
      </c>
      <c r="P4" s="41"/>
      <c r="Q4" s="41"/>
      <c r="R4" s="41"/>
      <c r="S4" s="58"/>
      <c r="T4" s="58"/>
    </row>
    <row r="5" spans="1:20" s="15" customFormat="1" ht="26.25" customHeight="1" x14ac:dyDescent="0.2">
      <c r="A5" s="43" t="s">
        <v>89</v>
      </c>
      <c r="B5" s="46" t="s">
        <v>92</v>
      </c>
      <c r="C5" s="44" t="s">
        <v>29</v>
      </c>
      <c r="D5" s="34">
        <v>12886</v>
      </c>
      <c r="E5" s="46" t="s">
        <v>789</v>
      </c>
      <c r="F5" s="35">
        <v>78896</v>
      </c>
      <c r="G5" s="40">
        <v>78896</v>
      </c>
      <c r="H5" s="35">
        <v>0</v>
      </c>
      <c r="I5" s="49">
        <f t="shared" si="0"/>
        <v>78896</v>
      </c>
      <c r="J5" s="51">
        <f t="shared" si="1"/>
        <v>0</v>
      </c>
      <c r="K5" s="48" t="s">
        <v>14</v>
      </c>
      <c r="L5" s="48" t="s">
        <v>15</v>
      </c>
      <c r="M5" s="38">
        <v>42916</v>
      </c>
      <c r="N5" s="48"/>
      <c r="O5" s="41">
        <v>78896</v>
      </c>
      <c r="P5" s="41"/>
      <c r="Q5" s="41"/>
      <c r="R5" s="41"/>
      <c r="S5" s="58"/>
      <c r="T5" s="58"/>
    </row>
    <row r="6" spans="1:20" s="15" customFormat="1" ht="26.25" customHeight="1" x14ac:dyDescent="0.2">
      <c r="A6" s="43" t="s">
        <v>90</v>
      </c>
      <c r="B6" s="46" t="s">
        <v>21</v>
      </c>
      <c r="C6" s="44" t="s">
        <v>95</v>
      </c>
      <c r="D6" s="34">
        <v>12958</v>
      </c>
      <c r="E6" s="46" t="s">
        <v>98</v>
      </c>
      <c r="F6" s="35">
        <f>56333*3</f>
        <v>168999</v>
      </c>
      <c r="G6" s="35">
        <f>56333*3</f>
        <v>168999</v>
      </c>
      <c r="H6" s="35">
        <v>0</v>
      </c>
      <c r="I6" s="49">
        <f t="shared" si="0"/>
        <v>168999</v>
      </c>
      <c r="J6" s="51">
        <f t="shared" si="1"/>
        <v>0</v>
      </c>
      <c r="K6" s="48" t="s">
        <v>14</v>
      </c>
      <c r="L6" s="48" t="s">
        <v>14</v>
      </c>
      <c r="M6" s="38">
        <v>42916</v>
      </c>
      <c r="N6" s="48" t="s">
        <v>18</v>
      </c>
      <c r="O6" s="41">
        <v>56333</v>
      </c>
      <c r="P6" s="41">
        <v>56333</v>
      </c>
      <c r="Q6" s="41">
        <v>56333</v>
      </c>
      <c r="R6" s="41"/>
      <c r="S6" s="58"/>
      <c r="T6" s="58"/>
    </row>
    <row r="7" spans="1:20" s="15" customFormat="1" ht="26.25" customHeight="1" x14ac:dyDescent="0.2">
      <c r="A7" s="43" t="s">
        <v>91</v>
      </c>
      <c r="B7" s="46" t="s">
        <v>21</v>
      </c>
      <c r="C7" s="44" t="s">
        <v>48</v>
      </c>
      <c r="D7" s="47">
        <v>12975</v>
      </c>
      <c r="E7" s="46" t="s">
        <v>100</v>
      </c>
      <c r="F7" s="49">
        <f>98000*3</f>
        <v>294000</v>
      </c>
      <c r="G7" s="49">
        <f>98000*3</f>
        <v>294000</v>
      </c>
      <c r="H7" s="35">
        <v>0</v>
      </c>
      <c r="I7" s="49">
        <f t="shared" si="0"/>
        <v>294000</v>
      </c>
      <c r="J7" s="51">
        <f t="shared" si="1"/>
        <v>0</v>
      </c>
      <c r="K7" s="48" t="s">
        <v>14</v>
      </c>
      <c r="L7" s="48" t="s">
        <v>15</v>
      </c>
      <c r="M7" s="38">
        <v>42916</v>
      </c>
      <c r="N7" s="48" t="s">
        <v>18</v>
      </c>
      <c r="O7" s="41">
        <v>98000</v>
      </c>
      <c r="P7" s="41">
        <v>98000</v>
      </c>
      <c r="Q7" s="41">
        <v>98000</v>
      </c>
      <c r="R7" s="41"/>
      <c r="S7" s="58"/>
      <c r="T7" s="58"/>
    </row>
    <row r="8" spans="1:20" s="15" customFormat="1" ht="26.25" customHeight="1" x14ac:dyDescent="0.2">
      <c r="A8" s="43" t="s">
        <v>101</v>
      </c>
      <c r="B8" s="46" t="s">
        <v>35</v>
      </c>
      <c r="C8" s="44" t="s">
        <v>123</v>
      </c>
      <c r="D8" s="34">
        <v>12536</v>
      </c>
      <c r="E8" s="46" t="s">
        <v>134</v>
      </c>
      <c r="F8" s="35">
        <f>5039*3</f>
        <v>15117</v>
      </c>
      <c r="G8" s="35">
        <f>5039*3</f>
        <v>15117</v>
      </c>
      <c r="H8" s="35">
        <v>0</v>
      </c>
      <c r="I8" s="49">
        <f t="shared" si="0"/>
        <v>15117</v>
      </c>
      <c r="J8" s="51">
        <f t="shared" si="1"/>
        <v>0</v>
      </c>
      <c r="K8" s="48" t="s">
        <v>14</v>
      </c>
      <c r="L8" s="48" t="s">
        <v>14</v>
      </c>
      <c r="M8" s="38">
        <v>42916</v>
      </c>
      <c r="N8" s="48" t="s">
        <v>18</v>
      </c>
      <c r="O8" s="41">
        <v>5039</v>
      </c>
      <c r="P8" s="41">
        <v>5039</v>
      </c>
      <c r="Q8" s="41">
        <v>5039</v>
      </c>
      <c r="R8" s="41"/>
      <c r="S8" s="58"/>
      <c r="T8" s="58"/>
    </row>
    <row r="9" spans="1:20" s="15" customFormat="1" ht="26.25" customHeight="1" x14ac:dyDescent="0.2">
      <c r="A9" s="43" t="s">
        <v>102</v>
      </c>
      <c r="B9" s="46" t="s">
        <v>35</v>
      </c>
      <c r="C9" s="44" t="s">
        <v>39</v>
      </c>
      <c r="D9" s="54" t="s">
        <v>132</v>
      </c>
      <c r="E9" s="46" t="s">
        <v>135</v>
      </c>
      <c r="F9" s="35">
        <f>8000+8000</f>
        <v>16000</v>
      </c>
      <c r="G9" s="40">
        <v>17000</v>
      </c>
      <c r="H9" s="35">
        <f>8000+8000</f>
        <v>16000</v>
      </c>
      <c r="I9" s="49">
        <f t="shared" si="0"/>
        <v>33000</v>
      </c>
      <c r="J9" s="51">
        <f t="shared" si="1"/>
        <v>0.94117647058823528</v>
      </c>
      <c r="K9" s="48" t="s">
        <v>14</v>
      </c>
      <c r="L9" s="48" t="s">
        <v>14</v>
      </c>
      <c r="M9" s="38">
        <v>42916</v>
      </c>
      <c r="N9" s="48" t="s">
        <v>28</v>
      </c>
      <c r="O9" s="41">
        <f>8000</f>
        <v>8000</v>
      </c>
      <c r="P9" s="41">
        <v>8000</v>
      </c>
      <c r="Q9" s="41"/>
      <c r="R9" s="41"/>
      <c r="S9" s="58"/>
      <c r="T9" s="58"/>
    </row>
    <row r="10" spans="1:20" s="15" customFormat="1" ht="26.25" customHeight="1" x14ac:dyDescent="0.2">
      <c r="A10" s="43" t="s">
        <v>103</v>
      </c>
      <c r="B10" s="46" t="s">
        <v>21</v>
      </c>
      <c r="C10" s="44" t="s">
        <v>77</v>
      </c>
      <c r="D10" s="47">
        <v>12612</v>
      </c>
      <c r="E10" s="46" t="s">
        <v>136</v>
      </c>
      <c r="F10" s="35">
        <v>7674</v>
      </c>
      <c r="G10" s="35">
        <v>7674</v>
      </c>
      <c r="H10" s="35">
        <v>0</v>
      </c>
      <c r="I10" s="49">
        <f t="shared" si="0"/>
        <v>7674</v>
      </c>
      <c r="J10" s="51">
        <f t="shared" si="1"/>
        <v>0</v>
      </c>
      <c r="K10" s="48" t="s">
        <v>14</v>
      </c>
      <c r="L10" s="48" t="s">
        <v>14</v>
      </c>
      <c r="M10" s="38">
        <v>42727</v>
      </c>
      <c r="N10" s="48"/>
      <c r="O10" s="41">
        <v>7674</v>
      </c>
      <c r="P10" s="41"/>
      <c r="Q10" s="41"/>
      <c r="R10" s="41"/>
      <c r="S10" s="58"/>
      <c r="T10" s="58"/>
    </row>
    <row r="11" spans="1:20" s="15" customFormat="1" ht="26.25" customHeight="1" x14ac:dyDescent="0.2">
      <c r="A11" s="43" t="s">
        <v>104</v>
      </c>
      <c r="B11" s="46" t="s">
        <v>21</v>
      </c>
      <c r="C11" s="44" t="s">
        <v>84</v>
      </c>
      <c r="D11" s="47">
        <v>12675</v>
      </c>
      <c r="E11" s="46" t="s">
        <v>154</v>
      </c>
      <c r="F11" s="35">
        <v>30163</v>
      </c>
      <c r="G11" s="40">
        <v>30163</v>
      </c>
      <c r="H11" s="35">
        <v>0</v>
      </c>
      <c r="I11" s="49">
        <f t="shared" si="0"/>
        <v>30163</v>
      </c>
      <c r="J11" s="51">
        <f t="shared" si="1"/>
        <v>0</v>
      </c>
      <c r="K11" s="48" t="s">
        <v>14</v>
      </c>
      <c r="L11" s="48" t="s">
        <v>14</v>
      </c>
      <c r="M11" s="38">
        <v>42766</v>
      </c>
      <c r="N11" s="48"/>
      <c r="O11" s="41">
        <v>30163</v>
      </c>
      <c r="P11" s="41"/>
      <c r="Q11" s="41"/>
      <c r="R11" s="41"/>
      <c r="S11" s="58"/>
      <c r="T11" s="58"/>
    </row>
    <row r="12" spans="1:20" s="15" customFormat="1" ht="26.25" customHeight="1" x14ac:dyDescent="0.2">
      <c r="A12" s="43" t="s">
        <v>105</v>
      </c>
      <c r="B12" s="46" t="s">
        <v>92</v>
      </c>
      <c r="C12" s="44" t="s">
        <v>124</v>
      </c>
      <c r="D12" s="47">
        <v>12688</v>
      </c>
      <c r="E12" s="55" t="s">
        <v>139</v>
      </c>
      <c r="F12" s="35">
        <v>27414</v>
      </c>
      <c r="G12" s="40">
        <v>27414</v>
      </c>
      <c r="H12" s="35">
        <v>0</v>
      </c>
      <c r="I12" s="49">
        <f t="shared" si="0"/>
        <v>27414</v>
      </c>
      <c r="J12" s="51">
        <f t="shared" si="1"/>
        <v>0</v>
      </c>
      <c r="K12" s="48" t="s">
        <v>14</v>
      </c>
      <c r="L12" s="48" t="s">
        <v>15</v>
      </c>
      <c r="M12" s="52">
        <v>42916</v>
      </c>
      <c r="N12" s="48"/>
      <c r="O12" s="41">
        <v>27414</v>
      </c>
      <c r="P12" s="41"/>
      <c r="Q12" s="41"/>
      <c r="R12" s="41"/>
      <c r="S12" s="58"/>
      <c r="T12" s="58"/>
    </row>
    <row r="13" spans="1:20" s="15" customFormat="1" ht="26.25" customHeight="1" x14ac:dyDescent="0.2">
      <c r="A13" s="43" t="s">
        <v>106</v>
      </c>
      <c r="B13" s="46" t="s">
        <v>35</v>
      </c>
      <c r="C13" s="44" t="s">
        <v>125</v>
      </c>
      <c r="D13" s="47">
        <v>12823</v>
      </c>
      <c r="E13" s="46" t="s">
        <v>138</v>
      </c>
      <c r="F13" s="35">
        <v>9224</v>
      </c>
      <c r="G13" s="40">
        <v>9224</v>
      </c>
      <c r="H13" s="35">
        <v>0</v>
      </c>
      <c r="I13" s="49">
        <f t="shared" si="0"/>
        <v>9224</v>
      </c>
      <c r="J13" s="51">
        <f t="shared" si="1"/>
        <v>0</v>
      </c>
      <c r="K13" s="48" t="s">
        <v>14</v>
      </c>
      <c r="L13" s="48" t="s">
        <v>15</v>
      </c>
      <c r="M13" s="38">
        <v>42916</v>
      </c>
      <c r="N13" s="48"/>
      <c r="O13" s="41">
        <v>9224</v>
      </c>
      <c r="P13" s="41"/>
      <c r="Q13" s="41"/>
      <c r="R13" s="41"/>
      <c r="S13" s="58"/>
      <c r="T13" s="58"/>
    </row>
    <row r="14" spans="1:20" s="15" customFormat="1" ht="26.25" customHeight="1" x14ac:dyDescent="0.2">
      <c r="A14" s="43" t="s">
        <v>107</v>
      </c>
      <c r="B14" s="46" t="s">
        <v>92</v>
      </c>
      <c r="C14" s="44" t="s">
        <v>43</v>
      </c>
      <c r="D14" s="47">
        <v>12881</v>
      </c>
      <c r="E14" s="46" t="s">
        <v>137</v>
      </c>
      <c r="F14" s="35">
        <v>7213</v>
      </c>
      <c r="G14" s="40">
        <v>7213</v>
      </c>
      <c r="H14" s="35">
        <v>0</v>
      </c>
      <c r="I14" s="49">
        <f t="shared" si="0"/>
        <v>7213</v>
      </c>
      <c r="J14" s="51">
        <f t="shared" si="1"/>
        <v>0</v>
      </c>
      <c r="K14" s="48" t="s">
        <v>14</v>
      </c>
      <c r="L14" s="48" t="s">
        <v>15</v>
      </c>
      <c r="M14" s="38">
        <v>42916</v>
      </c>
      <c r="N14" s="48"/>
      <c r="O14" s="41">
        <v>7213</v>
      </c>
      <c r="P14" s="41"/>
      <c r="Q14" s="41"/>
      <c r="R14" s="41"/>
      <c r="S14" s="58"/>
      <c r="T14" s="58"/>
    </row>
    <row r="15" spans="1:20" s="15" customFormat="1" ht="26.25" customHeight="1" x14ac:dyDescent="0.2">
      <c r="A15" s="43" t="s">
        <v>108</v>
      </c>
      <c r="B15" s="46" t="s">
        <v>92</v>
      </c>
      <c r="C15" s="44" t="s">
        <v>43</v>
      </c>
      <c r="D15" s="47">
        <v>12882</v>
      </c>
      <c r="E15" s="46" t="s">
        <v>140</v>
      </c>
      <c r="F15" s="35">
        <v>24819</v>
      </c>
      <c r="G15" s="35">
        <v>24819</v>
      </c>
      <c r="H15" s="35">
        <v>0</v>
      </c>
      <c r="I15" s="49">
        <f t="shared" si="0"/>
        <v>24819</v>
      </c>
      <c r="J15" s="51">
        <f t="shared" si="1"/>
        <v>0</v>
      </c>
      <c r="K15" s="48" t="s">
        <v>14</v>
      </c>
      <c r="L15" s="48" t="s">
        <v>15</v>
      </c>
      <c r="M15" s="38">
        <v>42916</v>
      </c>
      <c r="N15" s="48"/>
      <c r="O15" s="35">
        <v>24819</v>
      </c>
      <c r="P15" s="35"/>
      <c r="Q15" s="35"/>
      <c r="R15" s="35"/>
      <c r="S15" s="58"/>
      <c r="T15" s="58"/>
    </row>
    <row r="16" spans="1:20" s="15" customFormat="1" ht="26.25" customHeight="1" x14ac:dyDescent="0.2">
      <c r="A16" s="43" t="s">
        <v>109</v>
      </c>
      <c r="B16" s="46" t="s">
        <v>92</v>
      </c>
      <c r="C16" s="44" t="s">
        <v>82</v>
      </c>
      <c r="D16" s="47">
        <v>12883</v>
      </c>
      <c r="E16" s="46" t="s">
        <v>141</v>
      </c>
      <c r="F16" s="35">
        <v>15216</v>
      </c>
      <c r="G16" s="35">
        <v>15216</v>
      </c>
      <c r="H16" s="35">
        <v>0</v>
      </c>
      <c r="I16" s="49">
        <f t="shared" si="0"/>
        <v>15216</v>
      </c>
      <c r="J16" s="51">
        <f t="shared" si="1"/>
        <v>0</v>
      </c>
      <c r="K16" s="48" t="s">
        <v>14</v>
      </c>
      <c r="L16" s="48" t="s">
        <v>15</v>
      </c>
      <c r="M16" s="38">
        <v>42916</v>
      </c>
      <c r="N16" s="48"/>
      <c r="O16" s="35">
        <v>15216</v>
      </c>
      <c r="P16" s="35"/>
      <c r="Q16" s="35"/>
      <c r="R16" s="35"/>
      <c r="S16" s="58"/>
      <c r="T16" s="58"/>
    </row>
    <row r="17" spans="1:20" s="15" customFormat="1" ht="26.25" customHeight="1" x14ac:dyDescent="0.2">
      <c r="A17" s="43" t="s">
        <v>110</v>
      </c>
      <c r="B17" s="46" t="s">
        <v>92</v>
      </c>
      <c r="C17" s="44" t="s">
        <v>50</v>
      </c>
      <c r="D17" s="47">
        <v>12884</v>
      </c>
      <c r="E17" s="46" t="s">
        <v>142</v>
      </c>
      <c r="F17" s="35">
        <v>37739</v>
      </c>
      <c r="G17" s="35">
        <v>37739</v>
      </c>
      <c r="H17" s="35">
        <v>0</v>
      </c>
      <c r="I17" s="49">
        <f t="shared" si="0"/>
        <v>37739</v>
      </c>
      <c r="J17" s="51">
        <f t="shared" si="1"/>
        <v>0</v>
      </c>
      <c r="K17" s="48" t="s">
        <v>14</v>
      </c>
      <c r="L17" s="48" t="s">
        <v>15</v>
      </c>
      <c r="M17" s="38">
        <v>42916</v>
      </c>
      <c r="N17" s="48"/>
      <c r="O17" s="35">
        <v>37739</v>
      </c>
      <c r="P17" s="35"/>
      <c r="Q17" s="35"/>
      <c r="R17" s="35"/>
      <c r="S17" s="58"/>
      <c r="T17" s="58"/>
    </row>
    <row r="18" spans="1:20" s="15" customFormat="1" ht="26.25" customHeight="1" x14ac:dyDescent="0.2">
      <c r="A18" s="43" t="s">
        <v>111</v>
      </c>
      <c r="B18" s="46" t="s">
        <v>92</v>
      </c>
      <c r="C18" s="44" t="s">
        <v>82</v>
      </c>
      <c r="D18" s="47">
        <v>12887</v>
      </c>
      <c r="E18" s="46" t="s">
        <v>143</v>
      </c>
      <c r="F18" s="35">
        <v>21839</v>
      </c>
      <c r="G18" s="35">
        <v>21839</v>
      </c>
      <c r="H18" s="35">
        <v>0</v>
      </c>
      <c r="I18" s="49">
        <f t="shared" si="0"/>
        <v>21839</v>
      </c>
      <c r="J18" s="51">
        <f t="shared" si="1"/>
        <v>0</v>
      </c>
      <c r="K18" s="48" t="s">
        <v>14</v>
      </c>
      <c r="L18" s="48" t="s">
        <v>15</v>
      </c>
      <c r="M18" s="38">
        <v>42916</v>
      </c>
      <c r="N18" s="48"/>
      <c r="O18" s="35">
        <v>21839</v>
      </c>
      <c r="P18" s="35"/>
      <c r="Q18" s="35"/>
      <c r="R18" s="35"/>
      <c r="S18" s="58"/>
      <c r="T18" s="58"/>
    </row>
    <row r="19" spans="1:20" s="15" customFormat="1" ht="26.25" customHeight="1" x14ac:dyDescent="0.2">
      <c r="A19" s="43" t="s">
        <v>112</v>
      </c>
      <c r="B19" s="46" t="s">
        <v>92</v>
      </c>
      <c r="C19" s="44" t="s">
        <v>126</v>
      </c>
      <c r="D19" s="47">
        <v>12889</v>
      </c>
      <c r="E19" s="46" t="s">
        <v>144</v>
      </c>
      <c r="F19" s="35">
        <v>13472</v>
      </c>
      <c r="G19" s="35">
        <v>13472</v>
      </c>
      <c r="H19" s="35">
        <v>0</v>
      </c>
      <c r="I19" s="49">
        <f t="shared" si="0"/>
        <v>13472</v>
      </c>
      <c r="J19" s="51">
        <f t="shared" si="1"/>
        <v>0</v>
      </c>
      <c r="K19" s="48" t="s">
        <v>14</v>
      </c>
      <c r="L19" s="48" t="s">
        <v>15</v>
      </c>
      <c r="M19" s="38">
        <v>42916</v>
      </c>
      <c r="N19" s="48"/>
      <c r="O19" s="35">
        <v>13472</v>
      </c>
      <c r="P19" s="35"/>
      <c r="Q19" s="35"/>
      <c r="R19" s="35"/>
      <c r="S19" s="58"/>
      <c r="T19" s="58"/>
    </row>
    <row r="20" spans="1:20" s="15" customFormat="1" ht="26.25" customHeight="1" x14ac:dyDescent="0.2">
      <c r="A20" s="43" t="s">
        <v>113</v>
      </c>
      <c r="B20" s="46" t="s">
        <v>92</v>
      </c>
      <c r="C20" s="44" t="s">
        <v>43</v>
      </c>
      <c r="D20" s="47">
        <v>12890</v>
      </c>
      <c r="E20" s="46" t="s">
        <v>145</v>
      </c>
      <c r="F20" s="35">
        <v>15479</v>
      </c>
      <c r="G20" s="35">
        <v>15479</v>
      </c>
      <c r="H20" s="35">
        <v>0</v>
      </c>
      <c r="I20" s="49">
        <f t="shared" si="0"/>
        <v>15479</v>
      </c>
      <c r="J20" s="51">
        <f t="shared" si="1"/>
        <v>0</v>
      </c>
      <c r="K20" s="48" t="s">
        <v>14</v>
      </c>
      <c r="L20" s="48" t="s">
        <v>15</v>
      </c>
      <c r="M20" s="38">
        <v>42916</v>
      </c>
      <c r="N20" s="48"/>
      <c r="O20" s="35">
        <v>15479</v>
      </c>
      <c r="P20" s="41"/>
      <c r="Q20" s="41"/>
      <c r="R20" s="41"/>
      <c r="S20" s="58"/>
      <c r="T20" s="58"/>
    </row>
    <row r="21" spans="1:20" s="15" customFormat="1" ht="26.25" customHeight="1" x14ac:dyDescent="0.2">
      <c r="A21" s="43" t="s">
        <v>114</v>
      </c>
      <c r="B21" s="46" t="s">
        <v>21</v>
      </c>
      <c r="C21" s="44" t="s">
        <v>127</v>
      </c>
      <c r="D21" s="47">
        <v>12891</v>
      </c>
      <c r="E21" s="46" t="s">
        <v>146</v>
      </c>
      <c r="F21" s="35">
        <f>40000*3</f>
        <v>120000</v>
      </c>
      <c r="G21" s="35">
        <f>40000*3</f>
        <v>120000</v>
      </c>
      <c r="H21" s="35">
        <v>0</v>
      </c>
      <c r="I21" s="49">
        <f t="shared" si="0"/>
        <v>120000</v>
      </c>
      <c r="J21" s="51">
        <f t="shared" si="1"/>
        <v>0</v>
      </c>
      <c r="K21" s="48" t="s">
        <v>14</v>
      </c>
      <c r="L21" s="48" t="s">
        <v>14</v>
      </c>
      <c r="M21" s="38">
        <v>42916</v>
      </c>
      <c r="N21" s="48" t="s">
        <v>18</v>
      </c>
      <c r="O21" s="35">
        <v>40000</v>
      </c>
      <c r="P21" s="35">
        <v>40000</v>
      </c>
      <c r="Q21" s="35">
        <v>40000</v>
      </c>
      <c r="R21" s="35"/>
      <c r="S21" s="58"/>
      <c r="T21" s="58"/>
    </row>
    <row r="22" spans="1:20" s="15" customFormat="1" ht="26.25" customHeight="1" x14ac:dyDescent="0.2">
      <c r="A22" s="43" t="s">
        <v>115</v>
      </c>
      <c r="B22" s="46" t="s">
        <v>19</v>
      </c>
      <c r="C22" s="44" t="s">
        <v>128</v>
      </c>
      <c r="D22" s="47">
        <v>12916</v>
      </c>
      <c r="E22" s="46" t="s">
        <v>147</v>
      </c>
      <c r="F22" s="35">
        <v>25001</v>
      </c>
      <c r="G22" s="35">
        <v>25001</v>
      </c>
      <c r="H22" s="35">
        <v>0</v>
      </c>
      <c r="I22" s="49">
        <f t="shared" si="0"/>
        <v>25001</v>
      </c>
      <c r="J22" s="51">
        <f t="shared" si="1"/>
        <v>0</v>
      </c>
      <c r="K22" s="48" t="s">
        <v>14</v>
      </c>
      <c r="L22" s="48" t="s">
        <v>14</v>
      </c>
      <c r="M22" s="38">
        <v>42575</v>
      </c>
      <c r="N22" s="48"/>
      <c r="O22" s="35">
        <v>25001</v>
      </c>
      <c r="P22" s="35"/>
      <c r="Q22" s="35"/>
      <c r="R22" s="35"/>
      <c r="S22" s="58"/>
      <c r="T22" s="58"/>
    </row>
    <row r="23" spans="1:20" s="15" customFormat="1" ht="26.25" customHeight="1" x14ac:dyDescent="0.2">
      <c r="A23" s="43" t="s">
        <v>116</v>
      </c>
      <c r="B23" s="46" t="s">
        <v>19</v>
      </c>
      <c r="C23" s="44" t="s">
        <v>129</v>
      </c>
      <c r="D23" s="47">
        <v>12918</v>
      </c>
      <c r="E23" s="46" t="s">
        <v>148</v>
      </c>
      <c r="F23" s="35">
        <v>7125</v>
      </c>
      <c r="G23" s="35">
        <v>7125</v>
      </c>
      <c r="H23" s="35">
        <v>0</v>
      </c>
      <c r="I23" s="49">
        <f t="shared" si="0"/>
        <v>7125</v>
      </c>
      <c r="J23" s="51">
        <f t="shared" si="1"/>
        <v>0</v>
      </c>
      <c r="K23" s="48" t="s">
        <v>14</v>
      </c>
      <c r="L23" s="48" t="s">
        <v>14</v>
      </c>
      <c r="M23" s="38">
        <v>42575</v>
      </c>
      <c r="N23" s="48"/>
      <c r="O23" s="35">
        <v>7125</v>
      </c>
      <c r="P23" s="35"/>
      <c r="Q23" s="35"/>
      <c r="R23" s="35"/>
      <c r="S23" s="58"/>
      <c r="T23" s="58"/>
    </row>
    <row r="24" spans="1:20" s="15" customFormat="1" ht="26.25" customHeight="1" x14ac:dyDescent="0.2">
      <c r="A24" s="43" t="s">
        <v>117</v>
      </c>
      <c r="B24" s="46" t="s">
        <v>19</v>
      </c>
      <c r="C24" s="44" t="s">
        <v>130</v>
      </c>
      <c r="D24" s="47">
        <v>12920</v>
      </c>
      <c r="E24" s="46" t="s">
        <v>149</v>
      </c>
      <c r="F24" s="35">
        <v>7100</v>
      </c>
      <c r="G24" s="35">
        <v>7100</v>
      </c>
      <c r="H24" s="35">
        <v>0</v>
      </c>
      <c r="I24" s="49">
        <f t="shared" si="0"/>
        <v>7100</v>
      </c>
      <c r="J24" s="51">
        <f t="shared" si="1"/>
        <v>0</v>
      </c>
      <c r="K24" s="48" t="s">
        <v>14</v>
      </c>
      <c r="L24" s="48" t="s">
        <v>14</v>
      </c>
      <c r="M24" s="38">
        <v>42575</v>
      </c>
      <c r="N24" s="48"/>
      <c r="O24" s="35">
        <v>7100</v>
      </c>
      <c r="P24" s="35"/>
      <c r="Q24" s="35"/>
      <c r="R24" s="35"/>
      <c r="S24" s="58"/>
      <c r="T24" s="58"/>
    </row>
    <row r="25" spans="1:20" s="15" customFormat="1" ht="26.25" customHeight="1" x14ac:dyDescent="0.2">
      <c r="A25" s="43" t="s">
        <v>118</v>
      </c>
      <c r="B25" s="46" t="s">
        <v>19</v>
      </c>
      <c r="C25" s="44" t="s">
        <v>130</v>
      </c>
      <c r="D25" s="54">
        <v>12921</v>
      </c>
      <c r="E25" s="46" t="s">
        <v>150</v>
      </c>
      <c r="F25" s="35">
        <v>10750</v>
      </c>
      <c r="G25" s="35">
        <v>10750</v>
      </c>
      <c r="H25" s="35">
        <v>0</v>
      </c>
      <c r="I25" s="49">
        <f t="shared" si="0"/>
        <v>10750</v>
      </c>
      <c r="J25" s="51">
        <f t="shared" si="1"/>
        <v>0</v>
      </c>
      <c r="K25" s="48" t="s">
        <v>14</v>
      </c>
      <c r="L25" s="48" t="s">
        <v>14</v>
      </c>
      <c r="M25" s="38">
        <v>42575</v>
      </c>
      <c r="N25" s="48"/>
      <c r="O25" s="35">
        <v>10750</v>
      </c>
      <c r="P25" s="41"/>
      <c r="Q25" s="41"/>
      <c r="R25" s="41"/>
      <c r="S25" s="58"/>
      <c r="T25" s="58"/>
    </row>
    <row r="26" spans="1:20" s="15" customFormat="1" ht="26.25" customHeight="1" x14ac:dyDescent="0.2">
      <c r="A26" s="43" t="s">
        <v>119</v>
      </c>
      <c r="B26" s="46" t="s">
        <v>19</v>
      </c>
      <c r="C26" s="44" t="s">
        <v>131</v>
      </c>
      <c r="D26" s="54">
        <v>12922</v>
      </c>
      <c r="E26" s="46" t="s">
        <v>153</v>
      </c>
      <c r="F26" s="35">
        <v>20000</v>
      </c>
      <c r="G26" s="35">
        <v>20000</v>
      </c>
      <c r="H26" s="35">
        <v>0</v>
      </c>
      <c r="I26" s="49">
        <f t="shared" si="0"/>
        <v>20000</v>
      </c>
      <c r="J26" s="51">
        <f t="shared" si="1"/>
        <v>0</v>
      </c>
      <c r="K26" s="48" t="s">
        <v>14</v>
      </c>
      <c r="L26" s="48" t="s">
        <v>14</v>
      </c>
      <c r="M26" s="38">
        <v>42735</v>
      </c>
      <c r="N26" s="48"/>
      <c r="O26" s="35">
        <v>20000</v>
      </c>
      <c r="P26" s="41"/>
      <c r="Q26" s="41"/>
      <c r="R26" s="41"/>
      <c r="S26" s="58"/>
      <c r="T26" s="58"/>
    </row>
    <row r="27" spans="1:20" s="15" customFormat="1" ht="26.25" customHeight="1" x14ac:dyDescent="0.2">
      <c r="A27" s="43" t="s">
        <v>120</v>
      </c>
      <c r="B27" s="46" t="s">
        <v>23</v>
      </c>
      <c r="C27" s="44" t="s">
        <v>47</v>
      </c>
      <c r="D27" s="54">
        <v>12936</v>
      </c>
      <c r="E27" s="46" t="s">
        <v>152</v>
      </c>
      <c r="F27" s="49">
        <f>20000*3</f>
        <v>60000</v>
      </c>
      <c r="G27" s="49">
        <f>20000*3</f>
        <v>60000</v>
      </c>
      <c r="H27" s="49">
        <v>0</v>
      </c>
      <c r="I27" s="49">
        <f t="shared" si="0"/>
        <v>60000</v>
      </c>
      <c r="J27" s="51">
        <f t="shared" si="1"/>
        <v>0</v>
      </c>
      <c r="K27" s="48" t="s">
        <v>14</v>
      </c>
      <c r="L27" s="48" t="s">
        <v>14</v>
      </c>
      <c r="M27" s="38">
        <v>42916</v>
      </c>
      <c r="N27" s="48" t="s">
        <v>18</v>
      </c>
      <c r="O27" s="41">
        <v>20000</v>
      </c>
      <c r="P27" s="41">
        <v>20000</v>
      </c>
      <c r="Q27" s="41">
        <v>20000</v>
      </c>
      <c r="R27" s="41"/>
      <c r="S27" s="58"/>
      <c r="T27" s="58"/>
    </row>
    <row r="28" spans="1:20" s="15" customFormat="1" ht="26.25" customHeight="1" x14ac:dyDescent="0.2">
      <c r="A28" s="43" t="s">
        <v>121</v>
      </c>
      <c r="B28" s="46" t="s">
        <v>23</v>
      </c>
      <c r="C28" s="44" t="s">
        <v>40</v>
      </c>
      <c r="D28" s="54" t="s">
        <v>133</v>
      </c>
      <c r="E28" s="46" t="s">
        <v>44</v>
      </c>
      <c r="F28" s="35">
        <f>10719+10719</f>
        <v>21438</v>
      </c>
      <c r="G28" s="35">
        <v>26211</v>
      </c>
      <c r="H28" s="35">
        <f>10719*2</f>
        <v>21438</v>
      </c>
      <c r="I28" s="49">
        <f t="shared" si="0"/>
        <v>47649</v>
      </c>
      <c r="J28" s="51">
        <f t="shared" si="1"/>
        <v>0.81790088130937388</v>
      </c>
      <c r="K28" s="48" t="s">
        <v>14</v>
      </c>
      <c r="L28" s="48" t="s">
        <v>14</v>
      </c>
      <c r="M28" s="38">
        <v>42916</v>
      </c>
      <c r="N28" s="48" t="s">
        <v>28</v>
      </c>
      <c r="O28" s="35">
        <v>10719</v>
      </c>
      <c r="P28" s="35">
        <v>10719</v>
      </c>
      <c r="Q28" s="35"/>
      <c r="R28" s="35"/>
      <c r="S28" s="58"/>
      <c r="T28" s="58"/>
    </row>
    <row r="29" spans="1:20" s="15" customFormat="1" ht="26.25" customHeight="1" x14ac:dyDescent="0.2">
      <c r="A29" s="43" t="s">
        <v>122</v>
      </c>
      <c r="B29" s="46" t="s">
        <v>23</v>
      </c>
      <c r="C29" s="44" t="s">
        <v>41</v>
      </c>
      <c r="D29" s="47">
        <v>12957</v>
      </c>
      <c r="E29" s="46" t="s">
        <v>151</v>
      </c>
      <c r="F29" s="35">
        <v>15000</v>
      </c>
      <c r="G29" s="35">
        <v>15000</v>
      </c>
      <c r="H29" s="35">
        <v>0</v>
      </c>
      <c r="I29" s="49">
        <f t="shared" si="0"/>
        <v>15000</v>
      </c>
      <c r="J29" s="51">
        <f t="shared" si="1"/>
        <v>0</v>
      </c>
      <c r="K29" s="48" t="s">
        <v>14</v>
      </c>
      <c r="L29" s="48" t="s">
        <v>14</v>
      </c>
      <c r="M29" s="38">
        <v>42916</v>
      </c>
      <c r="N29" s="48"/>
      <c r="O29" s="35">
        <v>15000</v>
      </c>
      <c r="P29" s="35"/>
      <c r="Q29" s="35"/>
      <c r="R29" s="35"/>
      <c r="S29" s="58"/>
      <c r="T29" s="58"/>
    </row>
    <row r="30" spans="1:20" s="15" customFormat="1" ht="26.25" customHeight="1" x14ac:dyDescent="0.2">
      <c r="A30" s="43" t="s">
        <v>155</v>
      </c>
      <c r="B30" s="46" t="s">
        <v>21</v>
      </c>
      <c r="C30" s="44" t="s">
        <v>77</v>
      </c>
      <c r="D30" s="47">
        <v>12371</v>
      </c>
      <c r="E30" s="46" t="s">
        <v>174</v>
      </c>
      <c r="F30" s="35">
        <v>11032</v>
      </c>
      <c r="G30" s="40">
        <v>11032</v>
      </c>
      <c r="H30" s="35">
        <v>0</v>
      </c>
      <c r="I30" s="49">
        <f t="shared" si="0"/>
        <v>11032</v>
      </c>
      <c r="J30" s="51">
        <f t="shared" si="1"/>
        <v>0</v>
      </c>
      <c r="K30" s="48" t="s">
        <v>15</v>
      </c>
      <c r="L30" s="48" t="s">
        <v>14</v>
      </c>
      <c r="M30" s="38">
        <v>42644</v>
      </c>
      <c r="N30" s="48"/>
      <c r="O30" s="41">
        <v>11032</v>
      </c>
      <c r="P30" s="41"/>
      <c r="Q30" s="41"/>
      <c r="R30" s="41"/>
      <c r="S30" s="58"/>
      <c r="T30" s="58"/>
    </row>
    <row r="31" spans="1:20" s="15" customFormat="1" ht="26.25" customHeight="1" x14ac:dyDescent="0.2">
      <c r="A31" s="43" t="s">
        <v>156</v>
      </c>
      <c r="B31" s="46" t="s">
        <v>26</v>
      </c>
      <c r="C31" s="44" t="s">
        <v>167</v>
      </c>
      <c r="D31" s="47">
        <v>12778</v>
      </c>
      <c r="E31" s="46" t="s">
        <v>173</v>
      </c>
      <c r="F31" s="35">
        <v>5200</v>
      </c>
      <c r="G31" s="35">
        <v>5200</v>
      </c>
      <c r="H31" s="35">
        <v>0</v>
      </c>
      <c r="I31" s="49">
        <f t="shared" si="0"/>
        <v>5200</v>
      </c>
      <c r="J31" s="51">
        <f t="shared" si="1"/>
        <v>0</v>
      </c>
      <c r="K31" s="48" t="s">
        <v>14</v>
      </c>
      <c r="L31" s="48" t="s">
        <v>14</v>
      </c>
      <c r="M31" s="38">
        <v>43281</v>
      </c>
      <c r="N31" s="48"/>
      <c r="O31" s="35">
        <v>5200</v>
      </c>
      <c r="P31" s="41"/>
      <c r="Q31" s="41"/>
      <c r="R31" s="41"/>
      <c r="S31" s="58"/>
      <c r="T31" s="58"/>
    </row>
    <row r="32" spans="1:20" s="15" customFormat="1" ht="26.25" customHeight="1" x14ac:dyDescent="0.2">
      <c r="A32" s="43" t="s">
        <v>157</v>
      </c>
      <c r="B32" s="46" t="s">
        <v>21</v>
      </c>
      <c r="C32" s="44" t="s">
        <v>47</v>
      </c>
      <c r="D32" s="47">
        <v>13003</v>
      </c>
      <c r="E32" s="46" t="s">
        <v>175</v>
      </c>
      <c r="F32" s="35">
        <f>10000*3</f>
        <v>30000</v>
      </c>
      <c r="G32" s="35">
        <f>10000*3</f>
        <v>30000</v>
      </c>
      <c r="H32" s="35">
        <v>0</v>
      </c>
      <c r="I32" s="49">
        <f t="shared" si="0"/>
        <v>30000</v>
      </c>
      <c r="J32" s="51">
        <f t="shared" si="1"/>
        <v>0</v>
      </c>
      <c r="K32" s="48" t="s">
        <v>14</v>
      </c>
      <c r="L32" s="48" t="s">
        <v>14</v>
      </c>
      <c r="M32" s="38">
        <v>42916</v>
      </c>
      <c r="N32" s="48" t="s">
        <v>18</v>
      </c>
      <c r="O32" s="35">
        <v>10000</v>
      </c>
      <c r="P32" s="41">
        <v>10000</v>
      </c>
      <c r="Q32" s="41">
        <v>10000</v>
      </c>
      <c r="R32" s="41"/>
      <c r="S32" s="58"/>
      <c r="T32" s="58"/>
    </row>
    <row r="33" spans="1:20" s="15" customFormat="1" ht="26.25" customHeight="1" x14ac:dyDescent="0.2">
      <c r="A33" s="43" t="s">
        <v>158</v>
      </c>
      <c r="B33" s="46" t="s">
        <v>69</v>
      </c>
      <c r="C33" s="44" t="s">
        <v>33</v>
      </c>
      <c r="D33" s="47">
        <v>13017</v>
      </c>
      <c r="E33" s="46" t="s">
        <v>176</v>
      </c>
      <c r="F33" s="49">
        <f>21376*3</f>
        <v>64128</v>
      </c>
      <c r="G33" s="49">
        <f>21376*3</f>
        <v>64128</v>
      </c>
      <c r="H33" s="35">
        <v>0</v>
      </c>
      <c r="I33" s="49">
        <f t="shared" si="0"/>
        <v>64128</v>
      </c>
      <c r="J33" s="51">
        <f t="shared" si="1"/>
        <v>0</v>
      </c>
      <c r="K33" s="48" t="s">
        <v>14</v>
      </c>
      <c r="L33" s="48" t="s">
        <v>14</v>
      </c>
      <c r="M33" s="38">
        <v>42868</v>
      </c>
      <c r="N33" s="48" t="s">
        <v>18</v>
      </c>
      <c r="O33" s="41">
        <v>21376</v>
      </c>
      <c r="P33" s="41">
        <v>21376</v>
      </c>
      <c r="Q33" s="41">
        <v>21376</v>
      </c>
      <c r="R33" s="41"/>
      <c r="S33" s="58"/>
      <c r="T33" s="58"/>
    </row>
    <row r="34" spans="1:20" s="15" customFormat="1" ht="26.25" customHeight="1" x14ac:dyDescent="0.2">
      <c r="A34" s="43" t="s">
        <v>159</v>
      </c>
      <c r="B34" s="46" t="s">
        <v>31</v>
      </c>
      <c r="C34" s="44" t="s">
        <v>168</v>
      </c>
      <c r="D34" s="47">
        <v>13024</v>
      </c>
      <c r="E34" s="46" t="s">
        <v>177</v>
      </c>
      <c r="F34" s="35">
        <f>33050*3</f>
        <v>99150</v>
      </c>
      <c r="G34" s="35">
        <f>33050*3</f>
        <v>99150</v>
      </c>
      <c r="H34" s="35">
        <v>0</v>
      </c>
      <c r="I34" s="49">
        <f t="shared" si="0"/>
        <v>99150</v>
      </c>
      <c r="J34" s="51">
        <f t="shared" si="1"/>
        <v>0</v>
      </c>
      <c r="K34" s="48" t="s">
        <v>14</v>
      </c>
      <c r="L34" s="48" t="s">
        <v>15</v>
      </c>
      <c r="M34" s="38">
        <v>42916</v>
      </c>
      <c r="N34" s="48" t="s">
        <v>18</v>
      </c>
      <c r="O34" s="41">
        <v>33050</v>
      </c>
      <c r="P34" s="41">
        <v>33050</v>
      </c>
      <c r="Q34" s="41">
        <v>33050</v>
      </c>
      <c r="R34" s="41"/>
      <c r="S34" s="58"/>
      <c r="T34" s="58"/>
    </row>
    <row r="35" spans="1:20" s="15" customFormat="1" ht="26.25" customHeight="1" x14ac:dyDescent="0.2">
      <c r="A35" s="43" t="s">
        <v>160</v>
      </c>
      <c r="B35" s="46" t="s">
        <v>165</v>
      </c>
      <c r="C35" s="44" t="s">
        <v>169</v>
      </c>
      <c r="D35" s="47">
        <v>13028</v>
      </c>
      <c r="E35" s="46" t="s">
        <v>178</v>
      </c>
      <c r="F35" s="35">
        <v>33200</v>
      </c>
      <c r="G35" s="40">
        <v>33200</v>
      </c>
      <c r="H35" s="35">
        <v>0</v>
      </c>
      <c r="I35" s="35">
        <f t="shared" si="0"/>
        <v>33200</v>
      </c>
      <c r="J35" s="36">
        <f t="shared" si="1"/>
        <v>0</v>
      </c>
      <c r="K35" s="48" t="s">
        <v>14</v>
      </c>
      <c r="L35" s="48" t="s">
        <v>14</v>
      </c>
      <c r="M35" s="38">
        <v>42916</v>
      </c>
      <c r="N35" s="48"/>
      <c r="O35" s="41">
        <v>33200</v>
      </c>
      <c r="P35" s="41"/>
      <c r="Q35" s="41"/>
      <c r="R35" s="41"/>
      <c r="S35" s="58"/>
      <c r="T35" s="58"/>
    </row>
    <row r="36" spans="1:20" s="15" customFormat="1" ht="26.25" customHeight="1" x14ac:dyDescent="0.2">
      <c r="A36" s="43" t="s">
        <v>161</v>
      </c>
      <c r="B36" s="46" t="s">
        <v>69</v>
      </c>
      <c r="C36" s="44" t="s">
        <v>170</v>
      </c>
      <c r="D36" s="47">
        <v>13035</v>
      </c>
      <c r="E36" s="46" t="s">
        <v>179</v>
      </c>
      <c r="F36" s="35">
        <f>19184*3</f>
        <v>57552</v>
      </c>
      <c r="G36" s="35">
        <f>19184*3</f>
        <v>57552</v>
      </c>
      <c r="H36" s="35">
        <v>0</v>
      </c>
      <c r="I36" s="35">
        <f t="shared" si="0"/>
        <v>57552</v>
      </c>
      <c r="J36" s="36">
        <f t="shared" si="1"/>
        <v>0</v>
      </c>
      <c r="K36" s="48" t="s">
        <v>14</v>
      </c>
      <c r="L36" s="48" t="s">
        <v>14</v>
      </c>
      <c r="M36" s="38">
        <v>42886</v>
      </c>
      <c r="N36" s="48" t="s">
        <v>18</v>
      </c>
      <c r="O36" s="35">
        <v>19184</v>
      </c>
      <c r="P36" s="35">
        <v>19184</v>
      </c>
      <c r="Q36" s="35">
        <v>19184</v>
      </c>
      <c r="R36" s="35"/>
      <c r="S36" s="58"/>
      <c r="T36" s="58"/>
    </row>
    <row r="37" spans="1:20" s="15" customFormat="1" ht="26.25" customHeight="1" x14ac:dyDescent="0.2">
      <c r="A37" s="43" t="s">
        <v>162</v>
      </c>
      <c r="B37" s="46" t="s">
        <v>166</v>
      </c>
      <c r="C37" s="44" t="s">
        <v>171</v>
      </c>
      <c r="D37" s="47">
        <v>13051</v>
      </c>
      <c r="E37" s="46" t="s">
        <v>180</v>
      </c>
      <c r="F37" s="49">
        <v>5700</v>
      </c>
      <c r="G37" s="50">
        <v>5700</v>
      </c>
      <c r="H37" s="35">
        <v>0</v>
      </c>
      <c r="I37" s="35">
        <f t="shared" si="0"/>
        <v>5700</v>
      </c>
      <c r="J37" s="36">
        <f t="shared" si="1"/>
        <v>0</v>
      </c>
      <c r="K37" s="48" t="s">
        <v>14</v>
      </c>
      <c r="L37" s="48" t="s">
        <v>15</v>
      </c>
      <c r="M37" s="38">
        <v>42643</v>
      </c>
      <c r="N37" s="48"/>
      <c r="O37" s="41">
        <v>5700</v>
      </c>
      <c r="P37" s="41"/>
      <c r="Q37" s="41"/>
      <c r="R37" s="41"/>
      <c r="S37" s="58"/>
      <c r="T37" s="58"/>
    </row>
    <row r="38" spans="1:20" s="15" customFormat="1" ht="26.25" customHeight="1" x14ac:dyDescent="0.2">
      <c r="A38" s="43" t="s">
        <v>163</v>
      </c>
      <c r="B38" s="46" t="s">
        <v>17</v>
      </c>
      <c r="C38" s="44" t="s">
        <v>172</v>
      </c>
      <c r="D38" s="47">
        <v>13059</v>
      </c>
      <c r="E38" s="46" t="s">
        <v>181</v>
      </c>
      <c r="F38" s="49">
        <f>35000*3</f>
        <v>105000</v>
      </c>
      <c r="G38" s="49">
        <f>35000*3</f>
        <v>105000</v>
      </c>
      <c r="H38" s="35">
        <v>0</v>
      </c>
      <c r="I38" s="35">
        <f t="shared" si="0"/>
        <v>105000</v>
      </c>
      <c r="J38" s="36">
        <f t="shared" si="1"/>
        <v>0</v>
      </c>
      <c r="K38" s="48" t="s">
        <v>14</v>
      </c>
      <c r="L38" s="48" t="s">
        <v>14</v>
      </c>
      <c r="M38" s="38">
        <v>42916</v>
      </c>
      <c r="N38" s="48" t="s">
        <v>18</v>
      </c>
      <c r="O38" s="41">
        <v>35000</v>
      </c>
      <c r="P38" s="41">
        <v>35000</v>
      </c>
      <c r="Q38" s="41">
        <v>35000</v>
      </c>
      <c r="R38" s="41"/>
      <c r="S38" s="58"/>
      <c r="T38" s="58"/>
    </row>
    <row r="39" spans="1:20" s="15" customFormat="1" ht="26.25" customHeight="1" x14ac:dyDescent="0.2">
      <c r="A39" s="43" t="s">
        <v>164</v>
      </c>
      <c r="B39" s="46" t="s">
        <v>20</v>
      </c>
      <c r="C39" s="44" t="s">
        <v>74</v>
      </c>
      <c r="D39" s="47">
        <v>13006</v>
      </c>
      <c r="E39" s="46" t="s">
        <v>182</v>
      </c>
      <c r="F39" s="35">
        <f>15000*3</f>
        <v>45000</v>
      </c>
      <c r="G39" s="35">
        <f>15000*3</f>
        <v>45000</v>
      </c>
      <c r="H39" s="35">
        <v>0</v>
      </c>
      <c r="I39" s="35">
        <f t="shared" si="0"/>
        <v>45000</v>
      </c>
      <c r="J39" s="36">
        <f t="shared" si="1"/>
        <v>0</v>
      </c>
      <c r="K39" s="48" t="s">
        <v>14</v>
      </c>
      <c r="L39" s="48" t="s">
        <v>14</v>
      </c>
      <c r="M39" s="52">
        <v>42916</v>
      </c>
      <c r="N39" s="48" t="s">
        <v>18</v>
      </c>
      <c r="O39" s="41">
        <v>15000</v>
      </c>
      <c r="P39" s="41">
        <v>15000</v>
      </c>
      <c r="Q39" s="41">
        <v>15000</v>
      </c>
      <c r="R39" s="41"/>
      <c r="S39" s="58"/>
      <c r="T39" s="58"/>
    </row>
    <row r="40" spans="1:20" s="15" customFormat="1" ht="26.25" customHeight="1" x14ac:dyDescent="0.2">
      <c r="A40" s="43" t="s">
        <v>183</v>
      </c>
      <c r="B40" s="46" t="s">
        <v>26</v>
      </c>
      <c r="C40" s="44" t="s">
        <v>55</v>
      </c>
      <c r="D40" s="54" t="s">
        <v>208</v>
      </c>
      <c r="E40" s="46" t="s">
        <v>53</v>
      </c>
      <c r="F40" s="35">
        <v>50000</v>
      </c>
      <c r="G40" s="35">
        <v>5000</v>
      </c>
      <c r="H40" s="35">
        <f>94000+50000</f>
        <v>144000</v>
      </c>
      <c r="I40" s="35">
        <f t="shared" si="0"/>
        <v>149000</v>
      </c>
      <c r="J40" s="36">
        <f t="shared" si="1"/>
        <v>28.8</v>
      </c>
      <c r="K40" s="48" t="s">
        <v>14</v>
      </c>
      <c r="L40" s="48" t="s">
        <v>14</v>
      </c>
      <c r="M40" s="38">
        <v>42551</v>
      </c>
      <c r="N40" s="48" t="s">
        <v>28</v>
      </c>
      <c r="O40" s="41">
        <v>50000</v>
      </c>
      <c r="P40" s="41"/>
      <c r="Q40" s="41"/>
      <c r="R40" s="41"/>
      <c r="S40" s="58"/>
      <c r="T40" s="58"/>
    </row>
    <row r="41" spans="1:20" s="15" customFormat="1" ht="26.25" customHeight="1" x14ac:dyDescent="0.2">
      <c r="A41" s="43" t="s">
        <v>184</v>
      </c>
      <c r="B41" s="46" t="s">
        <v>26</v>
      </c>
      <c r="C41" s="44" t="s">
        <v>27</v>
      </c>
      <c r="D41" s="54" t="s">
        <v>209</v>
      </c>
      <c r="E41" s="46" t="s">
        <v>210</v>
      </c>
      <c r="F41" s="35">
        <v>95000</v>
      </c>
      <c r="G41" s="35">
        <v>95000</v>
      </c>
      <c r="H41" s="35">
        <v>0</v>
      </c>
      <c r="I41" s="35">
        <f t="shared" si="0"/>
        <v>95000</v>
      </c>
      <c r="J41" s="36">
        <f t="shared" si="1"/>
        <v>0</v>
      </c>
      <c r="K41" s="48" t="s">
        <v>14</v>
      </c>
      <c r="L41" s="48" t="s">
        <v>14</v>
      </c>
      <c r="M41" s="38">
        <v>42916</v>
      </c>
      <c r="N41" s="48"/>
      <c r="O41" s="41">
        <v>95000</v>
      </c>
      <c r="P41" s="41"/>
      <c r="Q41" s="41"/>
      <c r="R41" s="41"/>
      <c r="S41" s="58"/>
      <c r="T41" s="58"/>
    </row>
    <row r="42" spans="1:20" s="15" customFormat="1" ht="26.25" customHeight="1" x14ac:dyDescent="0.2">
      <c r="A42" s="43" t="s">
        <v>185</v>
      </c>
      <c r="B42" s="46" t="s">
        <v>69</v>
      </c>
      <c r="C42" s="44" t="s">
        <v>200</v>
      </c>
      <c r="D42" s="34">
        <v>12967</v>
      </c>
      <c r="E42" s="46" t="s">
        <v>216</v>
      </c>
      <c r="F42" s="40">
        <v>64082</v>
      </c>
      <c r="G42" s="40">
        <v>64082</v>
      </c>
      <c r="H42" s="35">
        <v>0</v>
      </c>
      <c r="I42" s="35">
        <f t="shared" si="0"/>
        <v>64082</v>
      </c>
      <c r="J42" s="36">
        <f t="shared" si="1"/>
        <v>0</v>
      </c>
      <c r="K42" s="48" t="s">
        <v>14</v>
      </c>
      <c r="L42" s="48" t="s">
        <v>14</v>
      </c>
      <c r="M42" s="38">
        <v>42735</v>
      </c>
      <c r="N42" s="48"/>
      <c r="O42" s="41">
        <v>64082</v>
      </c>
      <c r="P42" s="41"/>
      <c r="Q42" s="41"/>
      <c r="R42" s="41"/>
      <c r="S42" s="58"/>
      <c r="T42" s="58"/>
    </row>
    <row r="43" spans="1:20" s="15" customFormat="1" ht="26.25" customHeight="1" x14ac:dyDescent="0.2">
      <c r="A43" s="43" t="s">
        <v>186</v>
      </c>
      <c r="B43" s="46" t="s">
        <v>21</v>
      </c>
      <c r="C43" s="44" t="s">
        <v>76</v>
      </c>
      <c r="D43" s="34">
        <v>12972</v>
      </c>
      <c r="E43" s="46" t="s">
        <v>217</v>
      </c>
      <c r="F43" s="35">
        <f>50000*3</f>
        <v>150000</v>
      </c>
      <c r="G43" s="35">
        <f>50000*3</f>
        <v>150000</v>
      </c>
      <c r="H43" s="35">
        <v>0</v>
      </c>
      <c r="I43" s="35">
        <f t="shared" si="0"/>
        <v>150000</v>
      </c>
      <c r="J43" s="36">
        <f t="shared" si="1"/>
        <v>0</v>
      </c>
      <c r="K43" s="48" t="s">
        <v>14</v>
      </c>
      <c r="L43" s="48" t="s">
        <v>14</v>
      </c>
      <c r="M43" s="38">
        <v>42916</v>
      </c>
      <c r="N43" s="48" t="s">
        <v>18</v>
      </c>
      <c r="O43" s="41">
        <v>50000</v>
      </c>
      <c r="P43" s="41">
        <v>50000</v>
      </c>
      <c r="Q43" s="41">
        <v>50000</v>
      </c>
      <c r="R43" s="41"/>
      <c r="S43" s="58"/>
      <c r="T43" s="58"/>
    </row>
    <row r="44" spans="1:20" s="15" customFormat="1" ht="26.25" customHeight="1" x14ac:dyDescent="0.2">
      <c r="A44" s="43" t="s">
        <v>187</v>
      </c>
      <c r="B44" s="46" t="s">
        <v>21</v>
      </c>
      <c r="C44" s="44" t="s">
        <v>201</v>
      </c>
      <c r="D44" s="34">
        <v>12973</v>
      </c>
      <c r="E44" s="46" t="s">
        <v>218</v>
      </c>
      <c r="F44" s="35">
        <f>50000*3</f>
        <v>150000</v>
      </c>
      <c r="G44" s="35">
        <f>50000*3</f>
        <v>150000</v>
      </c>
      <c r="H44" s="35">
        <v>0</v>
      </c>
      <c r="I44" s="35">
        <f t="shared" si="0"/>
        <v>150000</v>
      </c>
      <c r="J44" s="36">
        <f t="shared" si="1"/>
        <v>0</v>
      </c>
      <c r="K44" s="48" t="s">
        <v>14</v>
      </c>
      <c r="L44" s="48" t="s">
        <v>14</v>
      </c>
      <c r="M44" s="38">
        <v>42916</v>
      </c>
      <c r="N44" s="48" t="s">
        <v>18</v>
      </c>
      <c r="O44" s="41">
        <v>50000</v>
      </c>
      <c r="P44" s="41">
        <v>50000</v>
      </c>
      <c r="Q44" s="41">
        <v>50000</v>
      </c>
      <c r="R44" s="41"/>
      <c r="S44" s="58"/>
      <c r="T44" s="58"/>
    </row>
    <row r="45" spans="1:20" s="15" customFormat="1" ht="26.25" customHeight="1" x14ac:dyDescent="0.2">
      <c r="A45" s="43" t="s">
        <v>188</v>
      </c>
      <c r="B45" s="46" t="s">
        <v>21</v>
      </c>
      <c r="C45" s="44" t="s">
        <v>202</v>
      </c>
      <c r="D45" s="34">
        <v>12974</v>
      </c>
      <c r="E45" s="46" t="s">
        <v>219</v>
      </c>
      <c r="F45" s="49">
        <f>90000*3</f>
        <v>270000</v>
      </c>
      <c r="G45" s="49">
        <f>90000*3</f>
        <v>270000</v>
      </c>
      <c r="H45" s="49">
        <v>0</v>
      </c>
      <c r="I45" s="35">
        <f t="shared" si="0"/>
        <v>270000</v>
      </c>
      <c r="J45" s="36">
        <f t="shared" si="1"/>
        <v>0</v>
      </c>
      <c r="K45" s="48" t="s">
        <v>14</v>
      </c>
      <c r="L45" s="48" t="s">
        <v>14</v>
      </c>
      <c r="M45" s="38">
        <v>42916</v>
      </c>
      <c r="N45" s="48" t="s">
        <v>18</v>
      </c>
      <c r="O45" s="41">
        <v>90000</v>
      </c>
      <c r="P45" s="41">
        <v>90000</v>
      </c>
      <c r="Q45" s="41">
        <v>90000</v>
      </c>
      <c r="R45" s="41"/>
      <c r="S45" s="58"/>
      <c r="T45" s="58"/>
    </row>
    <row r="46" spans="1:20" s="15" customFormat="1" ht="26.25" customHeight="1" x14ac:dyDescent="0.2">
      <c r="A46" s="43" t="s">
        <v>189</v>
      </c>
      <c r="B46" s="46" t="s">
        <v>20</v>
      </c>
      <c r="C46" s="44" t="s">
        <v>65</v>
      </c>
      <c r="D46" s="47">
        <v>13325</v>
      </c>
      <c r="E46" s="46" t="s">
        <v>220</v>
      </c>
      <c r="F46" s="35">
        <f>99000*3</f>
        <v>297000</v>
      </c>
      <c r="G46" s="35">
        <f>99000*3</f>
        <v>297000</v>
      </c>
      <c r="H46" s="35">
        <v>0</v>
      </c>
      <c r="I46" s="35">
        <f t="shared" si="0"/>
        <v>297000</v>
      </c>
      <c r="J46" s="36">
        <f t="shared" si="1"/>
        <v>0</v>
      </c>
      <c r="K46" s="48" t="s">
        <v>14</v>
      </c>
      <c r="L46" s="48" t="s">
        <v>15</v>
      </c>
      <c r="M46" s="38">
        <v>42958</v>
      </c>
      <c r="N46" s="48" t="s">
        <v>18</v>
      </c>
      <c r="O46" s="41">
        <v>99000</v>
      </c>
      <c r="P46" s="41">
        <v>99000</v>
      </c>
      <c r="Q46" s="41">
        <v>99000</v>
      </c>
      <c r="R46" s="41"/>
      <c r="S46" s="58"/>
      <c r="T46" s="58"/>
    </row>
    <row r="47" spans="1:20" s="15" customFormat="1" ht="26.25" customHeight="1" x14ac:dyDescent="0.2">
      <c r="A47" s="43" t="s">
        <v>190</v>
      </c>
      <c r="B47" s="46" t="s">
        <v>69</v>
      </c>
      <c r="C47" s="44" t="s">
        <v>203</v>
      </c>
      <c r="D47" s="34">
        <v>13002</v>
      </c>
      <c r="E47" s="46" t="s">
        <v>221</v>
      </c>
      <c r="F47" s="35">
        <v>99000</v>
      </c>
      <c r="G47" s="35">
        <v>99000</v>
      </c>
      <c r="H47" s="35">
        <v>0</v>
      </c>
      <c r="I47" s="35">
        <f t="shared" si="0"/>
        <v>99000</v>
      </c>
      <c r="J47" s="36">
        <f t="shared" si="1"/>
        <v>0</v>
      </c>
      <c r="K47" s="48" t="s">
        <v>14</v>
      </c>
      <c r="L47" s="48" t="s">
        <v>15</v>
      </c>
      <c r="M47" s="38">
        <v>42794</v>
      </c>
      <c r="N47" s="48"/>
      <c r="O47" s="56">
        <v>99000</v>
      </c>
      <c r="P47" s="41"/>
      <c r="Q47" s="41"/>
      <c r="R47" s="41"/>
      <c r="S47" s="58"/>
      <c r="T47" s="58"/>
    </row>
    <row r="48" spans="1:20" s="15" customFormat="1" ht="26.25" customHeight="1" x14ac:dyDescent="0.2">
      <c r="A48" s="43" t="s">
        <v>191</v>
      </c>
      <c r="B48" s="46" t="s">
        <v>21</v>
      </c>
      <c r="C48" s="44" t="s">
        <v>204</v>
      </c>
      <c r="D48" s="34">
        <v>13009</v>
      </c>
      <c r="E48" s="46" t="s">
        <v>222</v>
      </c>
      <c r="F48" s="49">
        <f>90000*3</f>
        <v>270000</v>
      </c>
      <c r="G48" s="49">
        <f>90000*3</f>
        <v>270000</v>
      </c>
      <c r="H48" s="49">
        <v>0</v>
      </c>
      <c r="I48" s="35">
        <f t="shared" si="0"/>
        <v>270000</v>
      </c>
      <c r="J48" s="36">
        <f t="shared" si="1"/>
        <v>0</v>
      </c>
      <c r="K48" s="48" t="s">
        <v>14</v>
      </c>
      <c r="L48" s="48" t="s">
        <v>14</v>
      </c>
      <c r="M48" s="38">
        <v>42916</v>
      </c>
      <c r="N48" s="48" t="s">
        <v>18</v>
      </c>
      <c r="O48" s="41">
        <v>90000</v>
      </c>
      <c r="P48" s="41">
        <v>90000</v>
      </c>
      <c r="Q48" s="41">
        <v>90000</v>
      </c>
      <c r="R48" s="41"/>
      <c r="S48" s="58"/>
      <c r="T48" s="58"/>
    </row>
    <row r="49" spans="1:20" s="15" customFormat="1" ht="26.25" customHeight="1" x14ac:dyDescent="0.2">
      <c r="A49" s="43" t="s">
        <v>192</v>
      </c>
      <c r="B49" s="46" t="s">
        <v>21</v>
      </c>
      <c r="C49" s="44" t="s">
        <v>205</v>
      </c>
      <c r="D49" s="34">
        <v>13011</v>
      </c>
      <c r="E49" s="46" t="s">
        <v>223</v>
      </c>
      <c r="F49" s="49">
        <f>90000*3</f>
        <v>270000</v>
      </c>
      <c r="G49" s="49">
        <f>90000*3</f>
        <v>270000</v>
      </c>
      <c r="H49" s="49">
        <v>0</v>
      </c>
      <c r="I49" s="35">
        <f t="shared" si="0"/>
        <v>270000</v>
      </c>
      <c r="J49" s="36">
        <f>IF(G49=0,100%,(I49-G49)/G49)</f>
        <v>0</v>
      </c>
      <c r="K49" s="48" t="s">
        <v>14</v>
      </c>
      <c r="L49" s="48" t="s">
        <v>14</v>
      </c>
      <c r="M49" s="38">
        <v>42916</v>
      </c>
      <c r="N49" s="48" t="s">
        <v>18</v>
      </c>
      <c r="O49" s="41">
        <v>90000</v>
      </c>
      <c r="P49" s="41">
        <v>90000</v>
      </c>
      <c r="Q49" s="41">
        <v>90000</v>
      </c>
      <c r="R49" s="41"/>
      <c r="S49" s="58"/>
      <c r="T49" s="58"/>
    </row>
    <row r="50" spans="1:20" s="15" customFormat="1" ht="26.25" customHeight="1" x14ac:dyDescent="0.2">
      <c r="A50" s="43" t="s">
        <v>193</v>
      </c>
      <c r="B50" s="46" t="s">
        <v>25</v>
      </c>
      <c r="C50" s="44" t="s">
        <v>61</v>
      </c>
      <c r="D50" s="34">
        <v>13021</v>
      </c>
      <c r="E50" s="46" t="s">
        <v>224</v>
      </c>
      <c r="F50" s="35">
        <f>99000*2</f>
        <v>198000</v>
      </c>
      <c r="G50" s="35">
        <f>99000*2</f>
        <v>198000</v>
      </c>
      <c r="H50" s="35">
        <v>0</v>
      </c>
      <c r="I50" s="35">
        <f t="shared" si="0"/>
        <v>198000</v>
      </c>
      <c r="J50" s="36">
        <f>IF(G50=0,100%,(I50-G50)/G50)</f>
        <v>0</v>
      </c>
      <c r="K50" s="48" t="s">
        <v>14</v>
      </c>
      <c r="L50" s="48" t="s">
        <v>14</v>
      </c>
      <c r="M50" s="38">
        <v>42916</v>
      </c>
      <c r="N50" s="48" t="s">
        <v>18</v>
      </c>
      <c r="O50" s="35">
        <v>99000</v>
      </c>
      <c r="P50" s="35">
        <v>99000</v>
      </c>
      <c r="Q50" s="35"/>
      <c r="R50" s="35"/>
      <c r="S50" s="58"/>
      <c r="T50" s="58"/>
    </row>
    <row r="51" spans="1:20" s="15" customFormat="1" ht="26.25" customHeight="1" x14ac:dyDescent="0.2">
      <c r="A51" s="43" t="s">
        <v>194</v>
      </c>
      <c r="B51" s="46" t="s">
        <v>199</v>
      </c>
      <c r="C51" s="44" t="s">
        <v>206</v>
      </c>
      <c r="D51" s="34">
        <v>13022</v>
      </c>
      <c r="E51" s="46" t="s">
        <v>225</v>
      </c>
      <c r="F51" s="35">
        <f>98880*3</f>
        <v>296640</v>
      </c>
      <c r="G51" s="35">
        <f>98880*3</f>
        <v>296640</v>
      </c>
      <c r="H51" s="35">
        <v>0</v>
      </c>
      <c r="I51" s="35">
        <f t="shared" si="0"/>
        <v>296640</v>
      </c>
      <c r="J51" s="36">
        <f>IF(G51=0,100%,(I51-G51)/G51)</f>
        <v>0</v>
      </c>
      <c r="K51" s="48" t="s">
        <v>14</v>
      </c>
      <c r="L51" s="48" t="s">
        <v>14</v>
      </c>
      <c r="M51" s="38">
        <v>42916</v>
      </c>
      <c r="N51" s="48" t="s">
        <v>18</v>
      </c>
      <c r="O51" s="35">
        <f>98880</f>
        <v>98880</v>
      </c>
      <c r="P51" s="35">
        <f>98880</f>
        <v>98880</v>
      </c>
      <c r="Q51" s="35">
        <f>98880</f>
        <v>98880</v>
      </c>
      <c r="R51" s="35"/>
      <c r="S51" s="58"/>
      <c r="T51" s="58"/>
    </row>
    <row r="52" spans="1:20" s="15" customFormat="1" ht="26.25" customHeight="1" x14ac:dyDescent="0.2">
      <c r="A52" s="43" t="s">
        <v>195</v>
      </c>
      <c r="B52" s="46" t="s">
        <v>21</v>
      </c>
      <c r="C52" s="44" t="s">
        <v>207</v>
      </c>
      <c r="D52" s="47">
        <v>13043</v>
      </c>
      <c r="E52" s="46" t="s">
        <v>226</v>
      </c>
      <c r="F52" s="35">
        <f>95000*3</f>
        <v>285000</v>
      </c>
      <c r="G52" s="35">
        <f>95000*3</f>
        <v>285000</v>
      </c>
      <c r="H52" s="35">
        <v>0</v>
      </c>
      <c r="I52" s="35">
        <f t="shared" si="0"/>
        <v>285000</v>
      </c>
      <c r="J52" s="36">
        <f t="shared" ref="J52:J66" si="2">IF(G52=0,100%,(I52-G52)/G52)</f>
        <v>0</v>
      </c>
      <c r="K52" s="48" t="s">
        <v>14</v>
      </c>
      <c r="L52" s="48" t="s">
        <v>14</v>
      </c>
      <c r="M52" s="38">
        <v>42916</v>
      </c>
      <c r="N52" s="48" t="s">
        <v>18</v>
      </c>
      <c r="O52" s="35">
        <v>95000</v>
      </c>
      <c r="P52" s="35">
        <v>95000</v>
      </c>
      <c r="Q52" s="35">
        <v>95000</v>
      </c>
      <c r="R52" s="35"/>
      <c r="S52" s="58"/>
      <c r="T52" s="58"/>
    </row>
    <row r="53" spans="1:20" s="15" customFormat="1" ht="26.25" customHeight="1" x14ac:dyDescent="0.2">
      <c r="A53" s="43" t="s">
        <v>196</v>
      </c>
      <c r="B53" s="46" t="s">
        <v>26</v>
      </c>
      <c r="C53" s="44" t="s">
        <v>66</v>
      </c>
      <c r="D53" s="54">
        <v>13050</v>
      </c>
      <c r="E53" s="46" t="s">
        <v>67</v>
      </c>
      <c r="F53" s="35">
        <v>99000</v>
      </c>
      <c r="G53" s="40">
        <v>40000</v>
      </c>
      <c r="H53" s="35">
        <f>35100+27000+50000+99000</f>
        <v>211100</v>
      </c>
      <c r="I53" s="35">
        <f t="shared" si="0"/>
        <v>251100</v>
      </c>
      <c r="J53" s="36">
        <f t="shared" si="2"/>
        <v>5.2774999999999999</v>
      </c>
      <c r="K53" s="48" t="s">
        <v>14</v>
      </c>
      <c r="L53" s="48" t="s">
        <v>14</v>
      </c>
      <c r="M53" s="38">
        <v>42916</v>
      </c>
      <c r="N53" s="48" t="s">
        <v>28</v>
      </c>
      <c r="O53" s="35">
        <v>99000</v>
      </c>
      <c r="P53" s="35"/>
      <c r="Q53" s="35"/>
      <c r="R53" s="35"/>
      <c r="S53" s="58"/>
      <c r="T53" s="58"/>
    </row>
    <row r="54" spans="1:20" s="15" customFormat="1" ht="26.25" customHeight="1" x14ac:dyDescent="0.2">
      <c r="A54" s="43" t="s">
        <v>197</v>
      </c>
      <c r="B54" s="46" t="s">
        <v>69</v>
      </c>
      <c r="C54" s="44" t="s">
        <v>80</v>
      </c>
      <c r="D54" s="34">
        <v>13076</v>
      </c>
      <c r="E54" s="46" t="s">
        <v>227</v>
      </c>
      <c r="F54" s="35">
        <f>93000*3</f>
        <v>279000</v>
      </c>
      <c r="G54" s="35">
        <f>93000*3</f>
        <v>279000</v>
      </c>
      <c r="H54" s="35">
        <v>0</v>
      </c>
      <c r="I54" s="35">
        <f t="shared" si="0"/>
        <v>279000</v>
      </c>
      <c r="J54" s="36">
        <f t="shared" si="2"/>
        <v>0</v>
      </c>
      <c r="K54" s="48" t="s">
        <v>14</v>
      </c>
      <c r="L54" s="48" t="s">
        <v>14</v>
      </c>
      <c r="M54" s="38">
        <v>42978</v>
      </c>
      <c r="N54" s="48" t="s">
        <v>18</v>
      </c>
      <c r="O54" s="35">
        <v>93000</v>
      </c>
      <c r="P54" s="35">
        <v>93000</v>
      </c>
      <c r="Q54" s="35">
        <v>93000</v>
      </c>
      <c r="R54" s="35"/>
      <c r="S54" s="58"/>
      <c r="T54" s="58"/>
    </row>
    <row r="55" spans="1:20" s="15" customFormat="1" ht="26.25" customHeight="1" x14ac:dyDescent="0.2">
      <c r="A55" s="43" t="s">
        <v>198</v>
      </c>
      <c r="B55" s="46" t="s">
        <v>31</v>
      </c>
      <c r="C55" s="44" t="s">
        <v>71</v>
      </c>
      <c r="D55" s="54">
        <v>13087</v>
      </c>
      <c r="E55" s="46" t="s">
        <v>228</v>
      </c>
      <c r="F55" s="35">
        <f>60000*3</f>
        <v>180000</v>
      </c>
      <c r="G55" s="35">
        <f>60000*3</f>
        <v>180000</v>
      </c>
      <c r="H55" s="35">
        <v>0</v>
      </c>
      <c r="I55" s="35">
        <f t="shared" si="0"/>
        <v>180000</v>
      </c>
      <c r="J55" s="36">
        <f t="shared" si="2"/>
        <v>0</v>
      </c>
      <c r="K55" s="48" t="s">
        <v>14</v>
      </c>
      <c r="L55" s="48" t="s">
        <v>14</v>
      </c>
      <c r="M55" s="38">
        <v>42916</v>
      </c>
      <c r="N55" s="48" t="s">
        <v>18</v>
      </c>
      <c r="O55" s="35">
        <v>60000</v>
      </c>
      <c r="P55" s="35">
        <v>60000</v>
      </c>
      <c r="Q55" s="35">
        <v>60000</v>
      </c>
      <c r="R55" s="35"/>
      <c r="S55" s="58"/>
      <c r="T55" s="58"/>
    </row>
    <row r="56" spans="1:20" s="15" customFormat="1" ht="26.25" customHeight="1" x14ac:dyDescent="0.2">
      <c r="A56" s="43" t="s">
        <v>211</v>
      </c>
      <c r="B56" s="46" t="s">
        <v>21</v>
      </c>
      <c r="C56" s="44" t="s">
        <v>24</v>
      </c>
      <c r="D56" s="34">
        <v>12794</v>
      </c>
      <c r="E56" s="46" t="s">
        <v>231</v>
      </c>
      <c r="F56" s="35">
        <v>82794</v>
      </c>
      <c r="G56" s="40">
        <v>82794</v>
      </c>
      <c r="H56" s="35">
        <v>0</v>
      </c>
      <c r="I56" s="35">
        <f t="shared" si="0"/>
        <v>82794</v>
      </c>
      <c r="J56" s="36">
        <f t="shared" si="2"/>
        <v>0</v>
      </c>
      <c r="K56" s="48" t="s">
        <v>15</v>
      </c>
      <c r="L56" s="48" t="s">
        <v>15</v>
      </c>
      <c r="M56" s="38">
        <v>42916</v>
      </c>
      <c r="N56" s="48"/>
      <c r="O56" s="35">
        <v>82794</v>
      </c>
      <c r="P56" s="35"/>
      <c r="Q56" s="35"/>
      <c r="R56" s="35"/>
      <c r="S56" s="58"/>
      <c r="T56" s="58"/>
    </row>
    <row r="57" spans="1:20" s="15" customFormat="1" ht="26.25" customHeight="1" x14ac:dyDescent="0.2">
      <c r="A57" s="43" t="s">
        <v>212</v>
      </c>
      <c r="B57" s="46" t="s">
        <v>214</v>
      </c>
      <c r="C57" s="44" t="s">
        <v>215</v>
      </c>
      <c r="D57" s="34">
        <v>13121</v>
      </c>
      <c r="E57" s="46" t="s">
        <v>230</v>
      </c>
      <c r="F57" s="35">
        <f>92920*2</f>
        <v>185840</v>
      </c>
      <c r="G57" s="35">
        <f>92920*2</f>
        <v>185840</v>
      </c>
      <c r="H57" s="35">
        <v>0</v>
      </c>
      <c r="I57" s="35">
        <f t="shared" si="0"/>
        <v>185840</v>
      </c>
      <c r="J57" s="36">
        <f t="shared" si="2"/>
        <v>0</v>
      </c>
      <c r="K57" s="48" t="s">
        <v>14</v>
      </c>
      <c r="L57" s="48" t="s">
        <v>14</v>
      </c>
      <c r="M57" s="38">
        <v>42958</v>
      </c>
      <c r="N57" s="48" t="s">
        <v>18</v>
      </c>
      <c r="O57" s="35">
        <v>92920</v>
      </c>
      <c r="P57" s="35">
        <v>92920</v>
      </c>
      <c r="Q57" s="35"/>
      <c r="R57" s="35"/>
      <c r="S57" s="58"/>
      <c r="T57" s="58"/>
    </row>
    <row r="58" spans="1:20" s="15" customFormat="1" ht="18" customHeight="1" x14ac:dyDescent="0.2">
      <c r="A58" s="43" t="s">
        <v>213</v>
      </c>
      <c r="B58" s="46" t="s">
        <v>36</v>
      </c>
      <c r="C58" s="44" t="s">
        <v>68</v>
      </c>
      <c r="D58" s="54">
        <v>13147</v>
      </c>
      <c r="E58" s="46" t="s">
        <v>229</v>
      </c>
      <c r="F58" s="35">
        <v>61708</v>
      </c>
      <c r="G58" s="40">
        <v>975237</v>
      </c>
      <c r="H58" s="35">
        <v>61708</v>
      </c>
      <c r="I58" s="35">
        <f t="shared" si="0"/>
        <v>1036945</v>
      </c>
      <c r="J58" s="36">
        <f t="shared" si="2"/>
        <v>6.327487574815148E-2</v>
      </c>
      <c r="K58" s="48" t="s">
        <v>14</v>
      </c>
      <c r="L58" s="48" t="s">
        <v>14</v>
      </c>
      <c r="M58" s="38">
        <v>42794</v>
      </c>
      <c r="N58" s="48" t="s">
        <v>28</v>
      </c>
      <c r="O58" s="35">
        <v>61708</v>
      </c>
      <c r="P58" s="35"/>
      <c r="Q58" s="35"/>
      <c r="R58" s="35"/>
      <c r="S58" s="58"/>
      <c r="T58" s="58"/>
    </row>
    <row r="59" spans="1:20" s="15" customFormat="1" ht="26.25" customHeight="1" x14ac:dyDescent="0.2">
      <c r="A59" s="43" t="s">
        <v>232</v>
      </c>
      <c r="B59" s="46" t="s">
        <v>31</v>
      </c>
      <c r="C59" s="44" t="s">
        <v>253</v>
      </c>
      <c r="D59" s="54">
        <v>12835</v>
      </c>
      <c r="E59" s="46" t="s">
        <v>269</v>
      </c>
      <c r="F59" s="35">
        <f>14500*3</f>
        <v>43500</v>
      </c>
      <c r="G59" s="35">
        <f>14500*3</f>
        <v>43500</v>
      </c>
      <c r="H59" s="35">
        <v>0</v>
      </c>
      <c r="I59" s="35">
        <f t="shared" si="0"/>
        <v>43500</v>
      </c>
      <c r="J59" s="36">
        <f t="shared" si="2"/>
        <v>0</v>
      </c>
      <c r="K59" s="48" t="s">
        <v>14</v>
      </c>
      <c r="L59" s="48" t="s">
        <v>14</v>
      </c>
      <c r="M59" s="38">
        <v>42916</v>
      </c>
      <c r="N59" s="48" t="s">
        <v>18</v>
      </c>
      <c r="O59" s="35">
        <v>14500</v>
      </c>
      <c r="P59" s="35">
        <v>14500</v>
      </c>
      <c r="Q59" s="35">
        <v>14500</v>
      </c>
      <c r="R59" s="35"/>
      <c r="S59" s="58"/>
      <c r="T59" s="58"/>
    </row>
    <row r="60" spans="1:20" s="15" customFormat="1" ht="26.25" customHeight="1" x14ac:dyDescent="0.2">
      <c r="A60" s="43" t="s">
        <v>233</v>
      </c>
      <c r="B60" s="46" t="s">
        <v>19</v>
      </c>
      <c r="C60" s="44" t="s">
        <v>254</v>
      </c>
      <c r="D60" s="47">
        <v>13016</v>
      </c>
      <c r="E60" s="46" t="s">
        <v>270</v>
      </c>
      <c r="F60" s="35">
        <v>10000</v>
      </c>
      <c r="G60" s="40">
        <v>10000</v>
      </c>
      <c r="H60" s="35">
        <v>0</v>
      </c>
      <c r="I60" s="35">
        <f t="shared" si="0"/>
        <v>10000</v>
      </c>
      <c r="J60" s="36">
        <f t="shared" si="2"/>
        <v>0</v>
      </c>
      <c r="K60" s="48" t="s">
        <v>14</v>
      </c>
      <c r="L60" s="48" t="s">
        <v>14</v>
      </c>
      <c r="M60" s="38">
        <v>42916</v>
      </c>
      <c r="N60" s="48"/>
      <c r="O60" s="35">
        <v>10000</v>
      </c>
      <c r="P60" s="35"/>
      <c r="Q60" s="35"/>
      <c r="R60" s="35"/>
      <c r="S60" s="58"/>
      <c r="T60" s="58"/>
    </row>
    <row r="61" spans="1:20" s="15" customFormat="1" ht="26.25" customHeight="1" x14ac:dyDescent="0.2">
      <c r="A61" s="43" t="s">
        <v>234</v>
      </c>
      <c r="B61" s="46" t="s">
        <v>20</v>
      </c>
      <c r="C61" s="44" t="s">
        <v>255</v>
      </c>
      <c r="D61" s="47">
        <v>13037</v>
      </c>
      <c r="E61" s="46" t="s">
        <v>271</v>
      </c>
      <c r="F61" s="35">
        <f>5500*3</f>
        <v>16500</v>
      </c>
      <c r="G61" s="35">
        <f>5500*3</f>
        <v>16500</v>
      </c>
      <c r="H61" s="35">
        <v>0</v>
      </c>
      <c r="I61" s="35">
        <f t="shared" si="0"/>
        <v>16500</v>
      </c>
      <c r="J61" s="36">
        <f t="shared" si="2"/>
        <v>0</v>
      </c>
      <c r="K61" s="48" t="s">
        <v>14</v>
      </c>
      <c r="L61" s="48" t="s">
        <v>14</v>
      </c>
      <c r="M61" s="38">
        <v>42916</v>
      </c>
      <c r="N61" s="48" t="s">
        <v>18</v>
      </c>
      <c r="O61" s="35">
        <v>5500</v>
      </c>
      <c r="P61" s="35">
        <v>5500</v>
      </c>
      <c r="Q61" s="35">
        <v>5500</v>
      </c>
      <c r="R61" s="35"/>
      <c r="S61" s="58"/>
      <c r="T61" s="58"/>
    </row>
    <row r="62" spans="1:20" s="15" customFormat="1" ht="26.25" customHeight="1" x14ac:dyDescent="0.2">
      <c r="A62" s="43" t="s">
        <v>235</v>
      </c>
      <c r="B62" s="46" t="s">
        <v>22</v>
      </c>
      <c r="C62" s="44" t="s">
        <v>256</v>
      </c>
      <c r="D62" s="47">
        <v>13045</v>
      </c>
      <c r="E62" s="46" t="s">
        <v>272</v>
      </c>
      <c r="F62" s="35">
        <f>49000*3</f>
        <v>147000</v>
      </c>
      <c r="G62" s="35">
        <f>49000*3</f>
        <v>147000</v>
      </c>
      <c r="H62" s="35">
        <v>0</v>
      </c>
      <c r="I62" s="35">
        <f t="shared" si="0"/>
        <v>147000</v>
      </c>
      <c r="J62" s="36">
        <f t="shared" si="2"/>
        <v>0</v>
      </c>
      <c r="K62" s="48" t="s">
        <v>14</v>
      </c>
      <c r="L62" s="48" t="s">
        <v>15</v>
      </c>
      <c r="M62" s="38">
        <v>42916</v>
      </c>
      <c r="N62" s="48" t="s">
        <v>18</v>
      </c>
      <c r="O62" s="35">
        <v>49000</v>
      </c>
      <c r="P62" s="35">
        <v>49000</v>
      </c>
      <c r="Q62" s="35">
        <v>49000</v>
      </c>
      <c r="R62" s="35"/>
      <c r="S62" s="58"/>
      <c r="T62" s="58"/>
    </row>
    <row r="63" spans="1:20" s="15" customFormat="1" ht="26.25" customHeight="1" x14ac:dyDescent="0.2">
      <c r="A63" s="43" t="s">
        <v>236</v>
      </c>
      <c r="B63" s="46" t="s">
        <v>31</v>
      </c>
      <c r="C63" s="44" t="s">
        <v>257</v>
      </c>
      <c r="D63" s="47">
        <v>13088</v>
      </c>
      <c r="E63" s="46" t="s">
        <v>273</v>
      </c>
      <c r="F63" s="35">
        <v>15000</v>
      </c>
      <c r="G63" s="35">
        <v>15000</v>
      </c>
      <c r="H63" s="35">
        <v>0</v>
      </c>
      <c r="I63" s="35">
        <f t="shared" si="0"/>
        <v>15000</v>
      </c>
      <c r="J63" s="36">
        <f t="shared" si="2"/>
        <v>0</v>
      </c>
      <c r="K63" s="48" t="s">
        <v>14</v>
      </c>
      <c r="L63" s="48" t="s">
        <v>15</v>
      </c>
      <c r="M63" s="38">
        <v>42916</v>
      </c>
      <c r="N63" s="48"/>
      <c r="O63" s="35">
        <v>15000</v>
      </c>
      <c r="P63" s="35"/>
      <c r="Q63" s="35"/>
      <c r="R63" s="35"/>
      <c r="S63" s="58"/>
      <c r="T63" s="58"/>
    </row>
    <row r="64" spans="1:20" s="15" customFormat="1" ht="26.25" customHeight="1" x14ac:dyDescent="0.2">
      <c r="A64" s="43" t="s">
        <v>237</v>
      </c>
      <c r="B64" s="46" t="s">
        <v>62</v>
      </c>
      <c r="C64" s="44" t="s">
        <v>258</v>
      </c>
      <c r="D64" s="47">
        <v>13092</v>
      </c>
      <c r="E64" s="46" t="s">
        <v>392</v>
      </c>
      <c r="F64" s="35">
        <v>15000</v>
      </c>
      <c r="G64" s="35">
        <v>5000</v>
      </c>
      <c r="H64" s="35">
        <f>106900+15000</f>
        <v>121900</v>
      </c>
      <c r="I64" s="35">
        <f t="shared" si="0"/>
        <v>126900</v>
      </c>
      <c r="J64" s="36">
        <f t="shared" si="2"/>
        <v>24.38</v>
      </c>
      <c r="K64" s="48" t="s">
        <v>14</v>
      </c>
      <c r="L64" s="48" t="s">
        <v>14</v>
      </c>
      <c r="M64" s="38">
        <v>42734</v>
      </c>
      <c r="N64" s="48" t="s">
        <v>28</v>
      </c>
      <c r="O64" s="35">
        <v>15000</v>
      </c>
      <c r="P64" s="35"/>
      <c r="Q64" s="35"/>
      <c r="R64" s="35"/>
      <c r="S64" s="58"/>
      <c r="T64" s="58"/>
    </row>
    <row r="65" spans="1:20" s="15" customFormat="1" ht="26.25" customHeight="1" x14ac:dyDescent="0.2">
      <c r="A65" s="43" t="s">
        <v>238</v>
      </c>
      <c r="B65" s="46" t="s">
        <v>62</v>
      </c>
      <c r="C65" s="44" t="s">
        <v>259</v>
      </c>
      <c r="D65" s="54">
        <v>13100</v>
      </c>
      <c r="E65" s="46" t="s">
        <v>274</v>
      </c>
      <c r="F65" s="35">
        <v>24350</v>
      </c>
      <c r="G65" s="35">
        <v>24350</v>
      </c>
      <c r="H65" s="35">
        <v>0</v>
      </c>
      <c r="I65" s="35">
        <f t="shared" si="0"/>
        <v>24350</v>
      </c>
      <c r="J65" s="36">
        <f t="shared" si="2"/>
        <v>0</v>
      </c>
      <c r="K65" s="48" t="s">
        <v>14</v>
      </c>
      <c r="L65" s="48" t="s">
        <v>14</v>
      </c>
      <c r="M65" s="38">
        <v>42916</v>
      </c>
      <c r="N65" s="48"/>
      <c r="O65" s="35">
        <v>24350</v>
      </c>
      <c r="P65" s="35"/>
      <c r="Q65" s="35"/>
      <c r="R65" s="35"/>
      <c r="S65" s="58"/>
      <c r="T65" s="58"/>
    </row>
    <row r="66" spans="1:20" s="15" customFormat="1" ht="26.25" customHeight="1" x14ac:dyDescent="0.2">
      <c r="A66" s="43" t="s">
        <v>239</v>
      </c>
      <c r="B66" s="46" t="s">
        <v>62</v>
      </c>
      <c r="C66" s="44" t="s">
        <v>260</v>
      </c>
      <c r="D66" s="47">
        <v>13123</v>
      </c>
      <c r="E66" s="46" t="s">
        <v>275</v>
      </c>
      <c r="F66" s="35">
        <v>5000</v>
      </c>
      <c r="G66" s="35">
        <v>4800</v>
      </c>
      <c r="H66" s="35">
        <v>5000</v>
      </c>
      <c r="I66" s="35">
        <f t="shared" si="0"/>
        <v>9800</v>
      </c>
      <c r="J66" s="36">
        <f t="shared" si="2"/>
        <v>1.0416666666666667</v>
      </c>
      <c r="K66" s="48" t="s">
        <v>14</v>
      </c>
      <c r="L66" s="48" t="s">
        <v>14</v>
      </c>
      <c r="M66" s="38">
        <v>42916</v>
      </c>
      <c r="N66" s="48" t="s">
        <v>28</v>
      </c>
      <c r="O66" s="35">
        <v>5000</v>
      </c>
      <c r="P66" s="35"/>
      <c r="Q66" s="35"/>
      <c r="R66" s="35"/>
      <c r="S66" s="58"/>
      <c r="T66" s="58"/>
    </row>
    <row r="67" spans="1:20" s="15" customFormat="1" ht="26.25" customHeight="1" x14ac:dyDescent="0.2">
      <c r="A67" s="43" t="s">
        <v>240</v>
      </c>
      <c r="B67" s="46" t="s">
        <v>21</v>
      </c>
      <c r="C67" s="44" t="s">
        <v>261</v>
      </c>
      <c r="D67" s="47">
        <v>13143</v>
      </c>
      <c r="E67" s="46" t="s">
        <v>276</v>
      </c>
      <c r="F67" s="35">
        <f>11659*3</f>
        <v>34977</v>
      </c>
      <c r="G67" s="35">
        <f>11659*3</f>
        <v>34977</v>
      </c>
      <c r="H67" s="35">
        <v>0</v>
      </c>
      <c r="I67" s="35">
        <f>G67+H67</f>
        <v>34977</v>
      </c>
      <c r="J67" s="36">
        <f>IF(G67=0,100%,(I67-G67)/G67)</f>
        <v>0</v>
      </c>
      <c r="K67" s="48" t="s">
        <v>14</v>
      </c>
      <c r="L67" s="48" t="s">
        <v>14</v>
      </c>
      <c r="M67" s="38">
        <v>42916</v>
      </c>
      <c r="N67" s="48" t="s">
        <v>18</v>
      </c>
      <c r="O67" s="35">
        <v>11659</v>
      </c>
      <c r="P67" s="35">
        <v>11659</v>
      </c>
      <c r="Q67" s="35">
        <v>11659</v>
      </c>
      <c r="R67" s="35"/>
      <c r="S67" s="58"/>
      <c r="T67" s="58"/>
    </row>
    <row r="68" spans="1:20" s="15" customFormat="1" ht="26.25" customHeight="1" x14ac:dyDescent="0.2">
      <c r="A68" s="43" t="s">
        <v>241</v>
      </c>
      <c r="B68" s="46" t="s">
        <v>21</v>
      </c>
      <c r="C68" s="44" t="s">
        <v>261</v>
      </c>
      <c r="D68" s="47">
        <v>13145</v>
      </c>
      <c r="E68" s="46" t="s">
        <v>277</v>
      </c>
      <c r="F68" s="35">
        <f>10263*3</f>
        <v>30789</v>
      </c>
      <c r="G68" s="35">
        <f>10263*3</f>
        <v>30789</v>
      </c>
      <c r="H68" s="35">
        <v>0</v>
      </c>
      <c r="I68" s="35">
        <f>G68+H68</f>
        <v>30789</v>
      </c>
      <c r="J68" s="36">
        <f>IF(G68=0,100%,(I68-G68)/G68)</f>
        <v>0</v>
      </c>
      <c r="K68" s="48" t="s">
        <v>14</v>
      </c>
      <c r="L68" s="48" t="s">
        <v>14</v>
      </c>
      <c r="M68" s="38">
        <v>42916</v>
      </c>
      <c r="N68" s="48" t="s">
        <v>18</v>
      </c>
      <c r="O68" s="35">
        <v>10263</v>
      </c>
      <c r="P68" s="35">
        <v>10263</v>
      </c>
      <c r="Q68" s="35">
        <v>10263</v>
      </c>
      <c r="R68" s="35"/>
      <c r="S68" s="58"/>
      <c r="T68" s="58"/>
    </row>
    <row r="69" spans="1:20" s="15" customFormat="1" ht="26.25" customHeight="1" x14ac:dyDescent="0.2">
      <c r="A69" s="43" t="s">
        <v>242</v>
      </c>
      <c r="B69" s="46" t="s">
        <v>26</v>
      </c>
      <c r="C69" s="44" t="s">
        <v>52</v>
      </c>
      <c r="D69" s="47">
        <v>13160</v>
      </c>
      <c r="E69" s="46" t="s">
        <v>278</v>
      </c>
      <c r="F69" s="35">
        <v>45000</v>
      </c>
      <c r="G69" s="35">
        <v>45000</v>
      </c>
      <c r="H69" s="35">
        <v>0</v>
      </c>
      <c r="I69" s="35">
        <f>G69+H69</f>
        <v>45000</v>
      </c>
      <c r="J69" s="36">
        <f>IF(G69=0,100%,(I69-G69)/G69)</f>
        <v>0</v>
      </c>
      <c r="K69" s="48" t="s">
        <v>14</v>
      </c>
      <c r="L69" s="48" t="s">
        <v>14</v>
      </c>
      <c r="M69" s="38">
        <v>42916</v>
      </c>
      <c r="N69" s="48"/>
      <c r="O69" s="35">
        <v>45000</v>
      </c>
      <c r="P69" s="35"/>
      <c r="Q69" s="35"/>
      <c r="R69" s="35"/>
      <c r="S69" s="58"/>
      <c r="T69" s="58"/>
    </row>
    <row r="70" spans="1:20" s="15" customFormat="1" ht="26.25" customHeight="1" x14ac:dyDescent="0.2">
      <c r="A70" s="43" t="s">
        <v>243</v>
      </c>
      <c r="B70" s="46" t="s">
        <v>21</v>
      </c>
      <c r="C70" s="44" t="s">
        <v>262</v>
      </c>
      <c r="D70" s="47">
        <v>13185</v>
      </c>
      <c r="E70" s="46" t="s">
        <v>78</v>
      </c>
      <c r="F70" s="35">
        <f>45482*3</f>
        <v>136446</v>
      </c>
      <c r="G70" s="35">
        <f>45482*3</f>
        <v>136446</v>
      </c>
      <c r="H70" s="35">
        <v>0</v>
      </c>
      <c r="I70" s="35">
        <f>G70+H70</f>
        <v>136446</v>
      </c>
      <c r="J70" s="36">
        <f>IF(G70=0,100%,(I70-G70)/G70)</f>
        <v>0</v>
      </c>
      <c r="K70" s="48" t="s">
        <v>14</v>
      </c>
      <c r="L70" s="48" t="s">
        <v>14</v>
      </c>
      <c r="M70" s="38">
        <v>42916</v>
      </c>
      <c r="N70" s="48" t="s">
        <v>18</v>
      </c>
      <c r="O70" s="35">
        <v>45482</v>
      </c>
      <c r="P70" s="35">
        <v>45482</v>
      </c>
      <c r="Q70" s="35">
        <v>45482</v>
      </c>
      <c r="R70" s="35"/>
      <c r="S70" s="58"/>
      <c r="T70" s="58"/>
    </row>
    <row r="71" spans="1:20" s="15" customFormat="1" ht="26.25" customHeight="1" x14ac:dyDescent="0.2">
      <c r="A71" s="43" t="s">
        <v>244</v>
      </c>
      <c r="B71" s="46" t="s">
        <v>21</v>
      </c>
      <c r="C71" s="44" t="s">
        <v>263</v>
      </c>
      <c r="D71" s="47">
        <v>13195</v>
      </c>
      <c r="E71" s="46" t="s">
        <v>279</v>
      </c>
      <c r="F71" s="35">
        <f>20000*3</f>
        <v>60000</v>
      </c>
      <c r="G71" s="35">
        <f>20000*3</f>
        <v>60000</v>
      </c>
      <c r="H71" s="35">
        <v>0</v>
      </c>
      <c r="I71" s="35">
        <f>G71+H71</f>
        <v>60000</v>
      </c>
      <c r="J71" s="36">
        <f>IF(G71=0,100%,(I71-G71)/G71)</f>
        <v>0</v>
      </c>
      <c r="K71" s="48" t="s">
        <v>14</v>
      </c>
      <c r="L71" s="48" t="s">
        <v>14</v>
      </c>
      <c r="M71" s="38">
        <v>42916</v>
      </c>
      <c r="N71" s="48" t="s">
        <v>18</v>
      </c>
      <c r="O71" s="35">
        <v>20000</v>
      </c>
      <c r="P71" s="35">
        <v>20000</v>
      </c>
      <c r="Q71" s="35">
        <v>20000</v>
      </c>
      <c r="R71" s="35"/>
      <c r="S71" s="58"/>
      <c r="T71" s="58"/>
    </row>
    <row r="72" spans="1:20" s="15" customFormat="1" ht="26.25" customHeight="1" x14ac:dyDescent="0.2">
      <c r="A72" s="43" t="s">
        <v>245</v>
      </c>
      <c r="B72" s="46" t="s">
        <v>69</v>
      </c>
      <c r="C72" s="44" t="s">
        <v>264</v>
      </c>
      <c r="D72" s="47">
        <v>13196</v>
      </c>
      <c r="E72" s="46" t="s">
        <v>280</v>
      </c>
      <c r="F72" s="35">
        <v>25000</v>
      </c>
      <c r="G72" s="35">
        <v>25000</v>
      </c>
      <c r="H72" s="35">
        <v>0</v>
      </c>
      <c r="I72" s="35">
        <f t="shared" ref="I72:I81" si="3">G72+H72</f>
        <v>25000</v>
      </c>
      <c r="J72" s="36">
        <f t="shared" ref="J72:J81" si="4">IF(G72=0,100%,(I72-G72)/G72)</f>
        <v>0</v>
      </c>
      <c r="K72" s="48" t="s">
        <v>14</v>
      </c>
      <c r="L72" s="48" t="s">
        <v>14</v>
      </c>
      <c r="M72" s="38">
        <v>42978</v>
      </c>
      <c r="N72" s="48"/>
      <c r="O72" s="35">
        <v>25000</v>
      </c>
      <c r="P72" s="35"/>
      <c r="Q72" s="35"/>
      <c r="R72" s="35"/>
      <c r="S72" s="58"/>
      <c r="T72" s="58"/>
    </row>
    <row r="73" spans="1:20" s="15" customFormat="1" ht="26.25" customHeight="1" x14ac:dyDescent="0.2">
      <c r="A73" s="43" t="s">
        <v>246</v>
      </c>
      <c r="B73" s="46" t="s">
        <v>92</v>
      </c>
      <c r="C73" s="44" t="s">
        <v>29</v>
      </c>
      <c r="D73" s="47">
        <v>13205</v>
      </c>
      <c r="E73" s="46" t="s">
        <v>281</v>
      </c>
      <c r="F73" s="35">
        <v>7669</v>
      </c>
      <c r="G73" s="35">
        <v>7669</v>
      </c>
      <c r="H73" s="35">
        <v>0</v>
      </c>
      <c r="I73" s="35">
        <f t="shared" si="3"/>
        <v>7669</v>
      </c>
      <c r="J73" s="36">
        <f t="shared" si="4"/>
        <v>0</v>
      </c>
      <c r="K73" s="48" t="s">
        <v>14</v>
      </c>
      <c r="L73" s="48" t="s">
        <v>15</v>
      </c>
      <c r="M73" s="38">
        <v>42916</v>
      </c>
      <c r="N73" s="48"/>
      <c r="O73" s="35">
        <v>7669</v>
      </c>
      <c r="P73" s="35"/>
      <c r="Q73" s="35"/>
      <c r="R73" s="35"/>
      <c r="S73" s="58"/>
      <c r="T73" s="58"/>
    </row>
    <row r="74" spans="1:20" s="15" customFormat="1" ht="26.25" customHeight="1" x14ac:dyDescent="0.2">
      <c r="A74" s="43" t="s">
        <v>247</v>
      </c>
      <c r="B74" s="46" t="s">
        <v>30</v>
      </c>
      <c r="C74" s="44" t="s">
        <v>265</v>
      </c>
      <c r="D74" s="47">
        <v>13209</v>
      </c>
      <c r="E74" s="46" t="s">
        <v>49</v>
      </c>
      <c r="F74" s="35">
        <v>11172</v>
      </c>
      <c r="G74" s="35">
        <v>11172</v>
      </c>
      <c r="H74" s="35">
        <v>0</v>
      </c>
      <c r="I74" s="35">
        <f t="shared" si="3"/>
        <v>11172</v>
      </c>
      <c r="J74" s="36">
        <f t="shared" si="4"/>
        <v>0</v>
      </c>
      <c r="K74" s="48" t="s">
        <v>14</v>
      </c>
      <c r="L74" s="48" t="s">
        <v>14</v>
      </c>
      <c r="M74" s="38">
        <v>42538</v>
      </c>
      <c r="N74" s="48"/>
      <c r="O74" s="35">
        <v>11172</v>
      </c>
      <c r="P74" s="35"/>
      <c r="Q74" s="35"/>
      <c r="R74" s="35"/>
      <c r="S74" s="58"/>
      <c r="T74" s="58"/>
    </row>
    <row r="75" spans="1:20" s="15" customFormat="1" ht="26.25" customHeight="1" x14ac:dyDescent="0.2">
      <c r="A75" s="43" t="s">
        <v>248</v>
      </c>
      <c r="B75" s="46" t="s">
        <v>21</v>
      </c>
      <c r="C75" s="44" t="s">
        <v>266</v>
      </c>
      <c r="D75" s="47">
        <v>13222</v>
      </c>
      <c r="E75" s="46" t="s">
        <v>282</v>
      </c>
      <c r="F75" s="35">
        <v>7587</v>
      </c>
      <c r="G75" s="35">
        <v>7587</v>
      </c>
      <c r="H75" s="35">
        <v>0</v>
      </c>
      <c r="I75" s="35">
        <f t="shared" si="3"/>
        <v>7587</v>
      </c>
      <c r="J75" s="36">
        <f t="shared" si="4"/>
        <v>0</v>
      </c>
      <c r="K75" s="48" t="s">
        <v>14</v>
      </c>
      <c r="L75" s="48" t="s">
        <v>14</v>
      </c>
      <c r="M75" s="38">
        <v>42623</v>
      </c>
      <c r="N75" s="48"/>
      <c r="O75" s="35">
        <v>7587</v>
      </c>
      <c r="P75" s="35"/>
      <c r="Q75" s="35"/>
      <c r="R75" s="35"/>
      <c r="S75" s="58"/>
      <c r="T75" s="58"/>
    </row>
    <row r="76" spans="1:20" s="15" customFormat="1" ht="26.25" customHeight="1" x14ac:dyDescent="0.2">
      <c r="A76" s="43" t="s">
        <v>249</v>
      </c>
      <c r="B76" s="46" t="s">
        <v>21</v>
      </c>
      <c r="C76" s="44" t="s">
        <v>267</v>
      </c>
      <c r="D76" s="47">
        <v>13223</v>
      </c>
      <c r="E76" s="46" t="s">
        <v>283</v>
      </c>
      <c r="F76" s="35">
        <v>17578</v>
      </c>
      <c r="G76" s="35">
        <v>17578</v>
      </c>
      <c r="H76" s="35">
        <v>0</v>
      </c>
      <c r="I76" s="35">
        <f t="shared" si="3"/>
        <v>17578</v>
      </c>
      <c r="J76" s="36">
        <f t="shared" si="4"/>
        <v>0</v>
      </c>
      <c r="K76" s="48" t="s">
        <v>14</v>
      </c>
      <c r="L76" s="48" t="s">
        <v>14</v>
      </c>
      <c r="M76" s="38">
        <v>42623</v>
      </c>
      <c r="N76" s="48"/>
      <c r="O76" s="35">
        <v>17578</v>
      </c>
      <c r="P76" s="35"/>
      <c r="Q76" s="35"/>
      <c r="R76" s="35"/>
      <c r="S76" s="58"/>
      <c r="T76" s="58"/>
    </row>
    <row r="77" spans="1:20" s="15" customFormat="1" ht="26.25" customHeight="1" x14ac:dyDescent="0.2">
      <c r="A77" s="43" t="s">
        <v>250</v>
      </c>
      <c r="B77" s="46" t="s">
        <v>69</v>
      </c>
      <c r="C77" s="44" t="s">
        <v>51</v>
      </c>
      <c r="D77" s="47">
        <v>13231</v>
      </c>
      <c r="E77" s="46" t="s">
        <v>284</v>
      </c>
      <c r="F77" s="35">
        <f>15816+15816</f>
        <v>31632</v>
      </c>
      <c r="G77" s="35">
        <v>23500</v>
      </c>
      <c r="H77" s="35">
        <f>15816+15816</f>
        <v>31632</v>
      </c>
      <c r="I77" s="35">
        <f t="shared" si="3"/>
        <v>55132</v>
      </c>
      <c r="J77" s="36">
        <f t="shared" si="4"/>
        <v>1.3460425531914895</v>
      </c>
      <c r="K77" s="48" t="s">
        <v>14</v>
      </c>
      <c r="L77" s="48" t="s">
        <v>14</v>
      </c>
      <c r="M77" s="38">
        <v>42911</v>
      </c>
      <c r="N77" s="48" t="s">
        <v>28</v>
      </c>
      <c r="O77" s="35">
        <v>15816</v>
      </c>
      <c r="P77" s="35">
        <v>15816</v>
      </c>
      <c r="Q77" s="35"/>
      <c r="R77" s="35"/>
      <c r="S77" s="58"/>
      <c r="T77" s="58"/>
    </row>
    <row r="78" spans="1:20" s="15" customFormat="1" ht="26.25" customHeight="1" x14ac:dyDescent="0.2">
      <c r="A78" s="43" t="s">
        <v>251</v>
      </c>
      <c r="B78" s="46" t="s">
        <v>252</v>
      </c>
      <c r="C78" s="44" t="s">
        <v>268</v>
      </c>
      <c r="D78" s="47">
        <v>13274</v>
      </c>
      <c r="E78" s="46" t="s">
        <v>285</v>
      </c>
      <c r="F78" s="35">
        <v>31985</v>
      </c>
      <c r="G78" s="35">
        <v>31985</v>
      </c>
      <c r="H78" s="35">
        <v>0</v>
      </c>
      <c r="I78" s="35">
        <f t="shared" si="3"/>
        <v>31985</v>
      </c>
      <c r="J78" s="36">
        <f t="shared" si="4"/>
        <v>0</v>
      </c>
      <c r="K78" s="48" t="s">
        <v>14</v>
      </c>
      <c r="L78" s="48" t="s">
        <v>15</v>
      </c>
      <c r="M78" s="38">
        <v>42674</v>
      </c>
      <c r="N78" s="48"/>
      <c r="O78" s="35">
        <v>31985</v>
      </c>
      <c r="P78" s="35"/>
      <c r="Q78" s="35"/>
      <c r="R78" s="35"/>
      <c r="S78" s="58"/>
      <c r="T78" s="58"/>
    </row>
    <row r="79" spans="1:20" s="15" customFormat="1" ht="26.25" customHeight="1" x14ac:dyDescent="0.2">
      <c r="A79" s="43" t="s">
        <v>286</v>
      </c>
      <c r="B79" s="46" t="s">
        <v>26</v>
      </c>
      <c r="C79" s="44" t="s">
        <v>27</v>
      </c>
      <c r="D79" s="54" t="s">
        <v>294</v>
      </c>
      <c r="E79" s="46" t="s">
        <v>79</v>
      </c>
      <c r="F79" s="35">
        <v>99000</v>
      </c>
      <c r="G79" s="35">
        <v>5000</v>
      </c>
      <c r="H79" s="35">
        <f>50000+99000</f>
        <v>149000</v>
      </c>
      <c r="I79" s="35">
        <f t="shared" si="3"/>
        <v>154000</v>
      </c>
      <c r="J79" s="36">
        <f t="shared" si="4"/>
        <v>29.8</v>
      </c>
      <c r="K79" s="48" t="s">
        <v>14</v>
      </c>
      <c r="L79" s="48" t="s">
        <v>14</v>
      </c>
      <c r="M79" s="38">
        <v>42916</v>
      </c>
      <c r="N79" s="48" t="s">
        <v>28</v>
      </c>
      <c r="O79" s="35">
        <v>99000</v>
      </c>
      <c r="P79" s="35"/>
      <c r="Q79" s="35"/>
      <c r="R79" s="35"/>
      <c r="S79" s="58"/>
      <c r="T79" s="58"/>
    </row>
    <row r="80" spans="1:20" s="15" customFormat="1" ht="26.25" customHeight="1" x14ac:dyDescent="0.2">
      <c r="A80" s="43" t="s">
        <v>287</v>
      </c>
      <c r="B80" s="46" t="s">
        <v>19</v>
      </c>
      <c r="C80" s="44" t="s">
        <v>46</v>
      </c>
      <c r="D80" s="47">
        <v>13165</v>
      </c>
      <c r="E80" s="46" t="s">
        <v>295</v>
      </c>
      <c r="F80" s="35">
        <v>63900</v>
      </c>
      <c r="G80" s="35">
        <v>63900</v>
      </c>
      <c r="H80" s="35">
        <v>0</v>
      </c>
      <c r="I80" s="35">
        <f t="shared" si="3"/>
        <v>63900</v>
      </c>
      <c r="J80" s="36">
        <f t="shared" si="4"/>
        <v>0</v>
      </c>
      <c r="K80" s="48" t="s">
        <v>14</v>
      </c>
      <c r="L80" s="48" t="s">
        <v>14</v>
      </c>
      <c r="M80" s="38">
        <v>42575</v>
      </c>
      <c r="N80" s="48"/>
      <c r="O80" s="35">
        <v>63900</v>
      </c>
      <c r="P80" s="35"/>
      <c r="Q80" s="35"/>
      <c r="R80" s="35"/>
      <c r="S80" s="58"/>
      <c r="T80" s="58"/>
    </row>
    <row r="81" spans="1:20" s="15" customFormat="1" ht="26.25" customHeight="1" x14ac:dyDescent="0.2">
      <c r="A81" s="43" t="s">
        <v>288</v>
      </c>
      <c r="B81" s="46" t="s">
        <v>21</v>
      </c>
      <c r="C81" s="44" t="s">
        <v>292</v>
      </c>
      <c r="D81" s="47">
        <v>13194</v>
      </c>
      <c r="E81" s="46" t="s">
        <v>296</v>
      </c>
      <c r="F81" s="35">
        <f>90000*3</f>
        <v>270000</v>
      </c>
      <c r="G81" s="35">
        <f>90000*3</f>
        <v>270000</v>
      </c>
      <c r="H81" s="35">
        <v>0</v>
      </c>
      <c r="I81" s="35">
        <f t="shared" si="3"/>
        <v>270000</v>
      </c>
      <c r="J81" s="36">
        <f t="shared" si="4"/>
        <v>0</v>
      </c>
      <c r="K81" s="48" t="s">
        <v>14</v>
      </c>
      <c r="L81" s="48" t="s">
        <v>14</v>
      </c>
      <c r="M81" s="38">
        <v>42916</v>
      </c>
      <c r="N81" s="48" t="s">
        <v>18</v>
      </c>
      <c r="O81" s="35">
        <v>90000</v>
      </c>
      <c r="P81" s="35">
        <v>90000</v>
      </c>
      <c r="Q81" s="35">
        <v>90000</v>
      </c>
      <c r="R81" s="35"/>
      <c r="S81" s="58"/>
      <c r="T81" s="58"/>
    </row>
    <row r="82" spans="1:20" s="15" customFormat="1" ht="26.25" customHeight="1" x14ac:dyDescent="0.2">
      <c r="A82" s="43" t="s">
        <v>289</v>
      </c>
      <c r="B82" s="46" t="s">
        <v>19</v>
      </c>
      <c r="C82" s="44" t="s">
        <v>59</v>
      </c>
      <c r="D82" s="47">
        <v>13206</v>
      </c>
      <c r="E82" s="46" t="s">
        <v>297</v>
      </c>
      <c r="F82" s="35">
        <f>73431*3</f>
        <v>220293</v>
      </c>
      <c r="G82" s="35">
        <f>73431*3</f>
        <v>220293</v>
      </c>
      <c r="H82" s="35">
        <v>0</v>
      </c>
      <c r="I82" s="35">
        <f>G82+H82</f>
        <v>220293</v>
      </c>
      <c r="J82" s="36">
        <f>IF(G82=0,100%,(I82-G82)/G82)</f>
        <v>0</v>
      </c>
      <c r="K82" s="48" t="s">
        <v>14</v>
      </c>
      <c r="L82" s="48" t="s">
        <v>14</v>
      </c>
      <c r="M82" s="38">
        <v>42916</v>
      </c>
      <c r="N82" s="48" t="s">
        <v>18</v>
      </c>
      <c r="O82" s="35">
        <v>73431</v>
      </c>
      <c r="P82" s="35">
        <v>73431</v>
      </c>
      <c r="Q82" s="35">
        <v>73431</v>
      </c>
      <c r="R82" s="35"/>
      <c r="S82" s="58"/>
      <c r="T82" s="58"/>
    </row>
    <row r="83" spans="1:20" s="15" customFormat="1" ht="26.25" customHeight="1" x14ac:dyDescent="0.2">
      <c r="A83" s="43" t="s">
        <v>290</v>
      </c>
      <c r="B83" s="46" t="s">
        <v>21</v>
      </c>
      <c r="C83" s="44" t="s">
        <v>57</v>
      </c>
      <c r="D83" s="47">
        <v>13237</v>
      </c>
      <c r="E83" s="46" t="s">
        <v>299</v>
      </c>
      <c r="F83" s="35">
        <f>49900+49900</f>
        <v>99800</v>
      </c>
      <c r="G83" s="35">
        <v>49900</v>
      </c>
      <c r="H83" s="35">
        <f>49900*2</f>
        <v>99800</v>
      </c>
      <c r="I83" s="35">
        <f>G83+H83</f>
        <v>149700</v>
      </c>
      <c r="J83" s="36">
        <f>IF(G83=0,100%,(I83-G83)/G83)</f>
        <v>2</v>
      </c>
      <c r="K83" s="48" t="s">
        <v>14</v>
      </c>
      <c r="L83" s="48" t="s">
        <v>14</v>
      </c>
      <c r="M83" s="38">
        <v>42916</v>
      </c>
      <c r="N83" s="48" t="s">
        <v>28</v>
      </c>
      <c r="O83" s="35">
        <v>49900</v>
      </c>
      <c r="P83" s="35">
        <v>49900</v>
      </c>
      <c r="Q83" s="35"/>
      <c r="R83" s="35"/>
      <c r="S83" s="58"/>
      <c r="T83" s="58"/>
    </row>
    <row r="84" spans="1:20" s="15" customFormat="1" ht="26.25" customHeight="1" x14ac:dyDescent="0.2">
      <c r="A84" s="43" t="s">
        <v>291</v>
      </c>
      <c r="B84" s="46" t="s">
        <v>21</v>
      </c>
      <c r="C84" s="44" t="s">
        <v>293</v>
      </c>
      <c r="D84" s="47">
        <v>13224</v>
      </c>
      <c r="E84" s="46" t="s">
        <v>298</v>
      </c>
      <c r="F84" s="35">
        <v>65000</v>
      </c>
      <c r="G84" s="35">
        <v>65000</v>
      </c>
      <c r="H84" s="35">
        <v>0</v>
      </c>
      <c r="I84" s="35">
        <f>G84+H84</f>
        <v>65000</v>
      </c>
      <c r="J84" s="36">
        <f>IF(G84=0,100%,(I84-G84)/G84)</f>
        <v>0</v>
      </c>
      <c r="K84" s="48" t="s">
        <v>14</v>
      </c>
      <c r="L84" s="48" t="s">
        <v>14</v>
      </c>
      <c r="M84" s="38">
        <v>42916</v>
      </c>
      <c r="N84" s="48"/>
      <c r="O84" s="35">
        <v>65000</v>
      </c>
      <c r="P84" s="35"/>
      <c r="Q84" s="35"/>
      <c r="R84" s="35"/>
      <c r="S84" s="58"/>
      <c r="T84" s="58"/>
    </row>
    <row r="85" spans="1:20" s="15" customFormat="1" ht="26.25" customHeight="1" x14ac:dyDescent="0.2">
      <c r="A85" s="43" t="s">
        <v>300</v>
      </c>
      <c r="B85" s="46" t="s">
        <v>62</v>
      </c>
      <c r="C85" s="44" t="s">
        <v>72</v>
      </c>
      <c r="D85" s="54" t="s">
        <v>321</v>
      </c>
      <c r="E85" s="46" t="s">
        <v>73</v>
      </c>
      <c r="F85" s="35">
        <v>391</v>
      </c>
      <c r="G85" s="35">
        <v>14324</v>
      </c>
      <c r="H85" s="35">
        <v>391</v>
      </c>
      <c r="I85" s="35">
        <f>G85+H85</f>
        <v>14715</v>
      </c>
      <c r="J85" s="36">
        <f>IF(G85=0,100%,(I85-G85)/G85)</f>
        <v>2.7296844456855627E-2</v>
      </c>
      <c r="K85" s="48" t="s">
        <v>14</v>
      </c>
      <c r="L85" s="48" t="s">
        <v>14</v>
      </c>
      <c r="M85" s="38">
        <v>42483</v>
      </c>
      <c r="N85" s="48" t="s">
        <v>28</v>
      </c>
      <c r="O85" s="35">
        <v>391</v>
      </c>
      <c r="P85" s="35"/>
      <c r="Q85" s="35"/>
      <c r="R85" s="35"/>
      <c r="S85" s="58"/>
      <c r="T85" s="58"/>
    </row>
    <row r="86" spans="1:20" s="15" customFormat="1" ht="26.25" customHeight="1" x14ac:dyDescent="0.2">
      <c r="A86" s="43" t="s">
        <v>301</v>
      </c>
      <c r="B86" s="46" t="s">
        <v>19</v>
      </c>
      <c r="C86" s="44" t="s">
        <v>313</v>
      </c>
      <c r="D86" s="54">
        <v>12948</v>
      </c>
      <c r="E86" s="46" t="s">
        <v>324</v>
      </c>
      <c r="F86" s="35">
        <v>8500</v>
      </c>
      <c r="G86" s="35">
        <v>8500</v>
      </c>
      <c r="H86" s="35">
        <v>0</v>
      </c>
      <c r="I86" s="35">
        <f>G86+H86</f>
        <v>8500</v>
      </c>
      <c r="J86" s="36">
        <f>IF(G86=0,100%,(I86-G86)/G86)</f>
        <v>0</v>
      </c>
      <c r="K86" s="48" t="s">
        <v>14</v>
      </c>
      <c r="L86" s="48" t="s">
        <v>14</v>
      </c>
      <c r="M86" s="38">
        <v>42916</v>
      </c>
      <c r="N86" s="48"/>
      <c r="O86" s="35">
        <v>8500</v>
      </c>
      <c r="P86" s="35"/>
      <c r="Q86" s="35"/>
      <c r="R86" s="35"/>
      <c r="S86" s="58"/>
      <c r="T86" s="58"/>
    </row>
    <row r="87" spans="1:20" s="15" customFormat="1" ht="26.25" customHeight="1" x14ac:dyDescent="0.2">
      <c r="A87" s="43" t="s">
        <v>302</v>
      </c>
      <c r="B87" s="46" t="s">
        <v>21</v>
      </c>
      <c r="C87" s="44" t="s">
        <v>314</v>
      </c>
      <c r="D87" s="47">
        <v>13168</v>
      </c>
      <c r="E87" s="46" t="s">
        <v>325</v>
      </c>
      <c r="F87" s="35">
        <v>26994</v>
      </c>
      <c r="G87" s="35">
        <v>26994</v>
      </c>
      <c r="H87" s="35">
        <v>0</v>
      </c>
      <c r="I87" s="35">
        <f t="shared" ref="I87:I119" si="5">G87+H87</f>
        <v>26994</v>
      </c>
      <c r="J87" s="36">
        <f t="shared" ref="J87:J119" si="6">IF(G87=0,100%,(I87-G87)/G87)</f>
        <v>0</v>
      </c>
      <c r="K87" s="48" t="s">
        <v>15</v>
      </c>
      <c r="L87" s="48" t="s">
        <v>15</v>
      </c>
      <c r="M87" s="38">
        <v>43708</v>
      </c>
      <c r="N87" s="48"/>
      <c r="O87" s="35">
        <v>26994</v>
      </c>
      <c r="P87" s="35"/>
      <c r="Q87" s="35"/>
      <c r="R87" s="35"/>
      <c r="S87" s="58"/>
      <c r="T87" s="58"/>
    </row>
    <row r="88" spans="1:20" s="15" customFormat="1" ht="26.25" customHeight="1" x14ac:dyDescent="0.2">
      <c r="A88" s="43" t="s">
        <v>303</v>
      </c>
      <c r="B88" s="46" t="s">
        <v>22</v>
      </c>
      <c r="C88" s="44" t="s">
        <v>42</v>
      </c>
      <c r="D88" s="54" t="s">
        <v>322</v>
      </c>
      <c r="E88" s="46" t="s">
        <v>326</v>
      </c>
      <c r="F88" s="35">
        <f>6480*2</f>
        <v>12960</v>
      </c>
      <c r="G88" s="35">
        <v>10080</v>
      </c>
      <c r="H88" s="35">
        <f>6480*2</f>
        <v>12960</v>
      </c>
      <c r="I88" s="35">
        <f t="shared" si="5"/>
        <v>23040</v>
      </c>
      <c r="J88" s="36">
        <f t="shared" si="6"/>
        <v>1.2857142857142858</v>
      </c>
      <c r="K88" s="48" t="s">
        <v>14</v>
      </c>
      <c r="L88" s="48" t="s">
        <v>14</v>
      </c>
      <c r="M88" s="38">
        <v>42916</v>
      </c>
      <c r="N88" s="48" t="s">
        <v>28</v>
      </c>
      <c r="O88" s="35">
        <v>6480</v>
      </c>
      <c r="P88" s="35">
        <v>6480</v>
      </c>
      <c r="Q88" s="35"/>
      <c r="R88" s="35"/>
      <c r="S88" s="58"/>
      <c r="T88" s="58"/>
    </row>
    <row r="89" spans="1:20" s="15" customFormat="1" ht="26.25" customHeight="1" x14ac:dyDescent="0.2">
      <c r="A89" s="43" t="s">
        <v>304</v>
      </c>
      <c r="B89" s="46" t="s">
        <v>19</v>
      </c>
      <c r="C89" s="44" t="s">
        <v>81</v>
      </c>
      <c r="D89" s="47">
        <v>13213</v>
      </c>
      <c r="E89" s="46" t="s">
        <v>327</v>
      </c>
      <c r="F89" s="35">
        <v>12792</v>
      </c>
      <c r="G89" s="35">
        <v>12792</v>
      </c>
      <c r="H89" s="35">
        <v>0</v>
      </c>
      <c r="I89" s="35">
        <f t="shared" si="5"/>
        <v>12792</v>
      </c>
      <c r="J89" s="36">
        <f t="shared" si="6"/>
        <v>0</v>
      </c>
      <c r="K89" s="48" t="s">
        <v>14</v>
      </c>
      <c r="L89" s="48" t="s">
        <v>14</v>
      </c>
      <c r="M89" s="38">
        <v>42977</v>
      </c>
      <c r="N89" s="48"/>
      <c r="O89" s="35">
        <v>12792</v>
      </c>
      <c r="P89" s="35"/>
      <c r="Q89" s="35"/>
      <c r="R89" s="35"/>
      <c r="S89" s="58"/>
      <c r="T89" s="58"/>
    </row>
    <row r="90" spans="1:20" s="15" customFormat="1" ht="26.25" customHeight="1" x14ac:dyDescent="0.2">
      <c r="A90" s="43" t="s">
        <v>305</v>
      </c>
      <c r="B90" s="46" t="s">
        <v>17</v>
      </c>
      <c r="C90" s="44" t="s">
        <v>315</v>
      </c>
      <c r="D90" s="47">
        <v>13241</v>
      </c>
      <c r="E90" s="46" t="s">
        <v>328</v>
      </c>
      <c r="F90" s="35">
        <f>15000*3</f>
        <v>45000</v>
      </c>
      <c r="G90" s="35">
        <f>15000*3</f>
        <v>45000</v>
      </c>
      <c r="H90" s="35">
        <v>0</v>
      </c>
      <c r="I90" s="35">
        <f t="shared" si="5"/>
        <v>45000</v>
      </c>
      <c r="J90" s="36">
        <f t="shared" si="6"/>
        <v>0</v>
      </c>
      <c r="K90" s="48" t="s">
        <v>14</v>
      </c>
      <c r="L90" s="48" t="s">
        <v>15</v>
      </c>
      <c r="M90" s="38">
        <v>42916</v>
      </c>
      <c r="N90" s="48" t="s">
        <v>18</v>
      </c>
      <c r="O90" s="35">
        <v>15000</v>
      </c>
      <c r="P90" s="35">
        <v>15000</v>
      </c>
      <c r="Q90" s="35">
        <v>15000</v>
      </c>
      <c r="R90" s="35"/>
      <c r="S90" s="58"/>
      <c r="T90" s="58"/>
    </row>
    <row r="91" spans="1:20" s="15" customFormat="1" ht="26.25" customHeight="1" x14ac:dyDescent="0.2">
      <c r="A91" s="43" t="s">
        <v>306</v>
      </c>
      <c r="B91" s="46" t="s">
        <v>62</v>
      </c>
      <c r="C91" s="44" t="s">
        <v>316</v>
      </c>
      <c r="D91" s="47">
        <v>13257</v>
      </c>
      <c r="E91" s="46" t="s">
        <v>329</v>
      </c>
      <c r="F91" s="35">
        <v>12850</v>
      </c>
      <c r="G91" s="35">
        <v>12850</v>
      </c>
      <c r="H91" s="35">
        <v>0</v>
      </c>
      <c r="I91" s="35">
        <f t="shared" si="5"/>
        <v>12850</v>
      </c>
      <c r="J91" s="36">
        <f t="shared" si="6"/>
        <v>0</v>
      </c>
      <c r="K91" s="48" t="s">
        <v>14</v>
      </c>
      <c r="L91" s="48" t="s">
        <v>14</v>
      </c>
      <c r="M91" s="38">
        <v>42916</v>
      </c>
      <c r="N91" s="48"/>
      <c r="O91" s="35">
        <v>12850</v>
      </c>
      <c r="P91" s="35"/>
      <c r="Q91" s="35"/>
      <c r="R91" s="35"/>
      <c r="S91" s="58"/>
      <c r="T91" s="58"/>
    </row>
    <row r="92" spans="1:20" s="15" customFormat="1" ht="26.25" customHeight="1" x14ac:dyDescent="0.2">
      <c r="A92" s="43" t="s">
        <v>307</v>
      </c>
      <c r="B92" s="46" t="s">
        <v>20</v>
      </c>
      <c r="C92" s="44" t="s">
        <v>45</v>
      </c>
      <c r="D92" s="54" t="s">
        <v>323</v>
      </c>
      <c r="E92" s="46" t="s">
        <v>64</v>
      </c>
      <c r="F92" s="35">
        <f>20000*2</f>
        <v>40000</v>
      </c>
      <c r="G92" s="35">
        <v>10000</v>
      </c>
      <c r="H92" s="35">
        <f>20000*2</f>
        <v>40000</v>
      </c>
      <c r="I92" s="35">
        <f t="shared" si="5"/>
        <v>50000</v>
      </c>
      <c r="J92" s="36">
        <f t="shared" si="6"/>
        <v>4</v>
      </c>
      <c r="K92" s="48" t="s">
        <v>14</v>
      </c>
      <c r="L92" s="48" t="s">
        <v>14</v>
      </c>
      <c r="M92" s="38">
        <v>42977</v>
      </c>
      <c r="N92" s="48" t="s">
        <v>28</v>
      </c>
      <c r="O92" s="35">
        <v>20000</v>
      </c>
      <c r="P92" s="35">
        <v>20000</v>
      </c>
      <c r="Q92" s="35"/>
      <c r="R92" s="35"/>
      <c r="S92" s="58"/>
      <c r="T92" s="58"/>
    </row>
    <row r="93" spans="1:20" s="15" customFormat="1" ht="26.25" customHeight="1" x14ac:dyDescent="0.2">
      <c r="A93" s="43" t="s">
        <v>308</v>
      </c>
      <c r="B93" s="46" t="s">
        <v>19</v>
      </c>
      <c r="C93" s="44" t="s">
        <v>83</v>
      </c>
      <c r="D93" s="47">
        <v>13280</v>
      </c>
      <c r="E93" s="46" t="s">
        <v>330</v>
      </c>
      <c r="F93" s="35">
        <v>20000</v>
      </c>
      <c r="G93" s="35">
        <v>20000</v>
      </c>
      <c r="H93" s="35">
        <v>0</v>
      </c>
      <c r="I93" s="35">
        <f t="shared" si="5"/>
        <v>20000</v>
      </c>
      <c r="J93" s="36">
        <f t="shared" si="6"/>
        <v>0</v>
      </c>
      <c r="K93" s="48" t="s">
        <v>14</v>
      </c>
      <c r="L93" s="48" t="s">
        <v>14</v>
      </c>
      <c r="M93" s="38">
        <v>42659</v>
      </c>
      <c r="N93" s="48"/>
      <c r="O93" s="35">
        <v>20000</v>
      </c>
      <c r="P93" s="35"/>
      <c r="Q93" s="35"/>
      <c r="R93" s="35"/>
      <c r="S93" s="58"/>
      <c r="T93" s="58"/>
    </row>
    <row r="94" spans="1:20" s="15" customFormat="1" ht="26.25" customHeight="1" x14ac:dyDescent="0.2">
      <c r="A94" s="43" t="s">
        <v>309</v>
      </c>
      <c r="B94" s="46" t="s">
        <v>19</v>
      </c>
      <c r="C94" s="44" t="s">
        <v>317</v>
      </c>
      <c r="D94" s="47">
        <v>13283</v>
      </c>
      <c r="E94" s="46" t="s">
        <v>75</v>
      </c>
      <c r="F94" s="35">
        <v>9560</v>
      </c>
      <c r="G94" s="40">
        <v>9560</v>
      </c>
      <c r="H94" s="35">
        <v>0</v>
      </c>
      <c r="I94" s="35">
        <f t="shared" si="5"/>
        <v>9560</v>
      </c>
      <c r="J94" s="36">
        <f t="shared" si="6"/>
        <v>0</v>
      </c>
      <c r="K94" s="48" t="s">
        <v>14</v>
      </c>
      <c r="L94" s="48" t="s">
        <v>14</v>
      </c>
      <c r="M94" s="38">
        <v>42916</v>
      </c>
      <c r="N94" s="48"/>
      <c r="O94" s="35">
        <v>9560</v>
      </c>
      <c r="P94" s="35"/>
      <c r="Q94" s="35"/>
      <c r="R94" s="35"/>
      <c r="S94" s="58"/>
      <c r="T94" s="58"/>
    </row>
    <row r="95" spans="1:20" s="15" customFormat="1" ht="26.25" customHeight="1" x14ac:dyDescent="0.2">
      <c r="A95" s="43" t="s">
        <v>310</v>
      </c>
      <c r="B95" s="46" t="s">
        <v>69</v>
      </c>
      <c r="C95" s="44" t="s">
        <v>318</v>
      </c>
      <c r="D95" s="54">
        <v>13295</v>
      </c>
      <c r="E95" s="46" t="s">
        <v>331</v>
      </c>
      <c r="F95" s="35">
        <v>23572</v>
      </c>
      <c r="G95" s="40">
        <v>23572</v>
      </c>
      <c r="H95" s="35">
        <v>0</v>
      </c>
      <c r="I95" s="35">
        <f t="shared" si="5"/>
        <v>23572</v>
      </c>
      <c r="J95" s="36">
        <f t="shared" si="6"/>
        <v>0</v>
      </c>
      <c r="K95" s="48" t="s">
        <v>14</v>
      </c>
      <c r="L95" s="48" t="s">
        <v>14</v>
      </c>
      <c r="M95" s="52">
        <v>42992</v>
      </c>
      <c r="N95" s="48"/>
      <c r="O95" s="35">
        <v>23572</v>
      </c>
      <c r="P95" s="35"/>
      <c r="Q95" s="35"/>
      <c r="R95" s="35"/>
      <c r="S95" s="58"/>
      <c r="T95" s="58"/>
    </row>
    <row r="96" spans="1:20" s="15" customFormat="1" ht="26.25" customHeight="1" x14ac:dyDescent="0.2">
      <c r="A96" s="43" t="s">
        <v>311</v>
      </c>
      <c r="B96" s="46" t="s">
        <v>166</v>
      </c>
      <c r="C96" s="44" t="s">
        <v>319</v>
      </c>
      <c r="D96" s="47">
        <v>13296</v>
      </c>
      <c r="E96" s="46" t="s">
        <v>332</v>
      </c>
      <c r="F96" s="35">
        <v>40000</v>
      </c>
      <c r="G96" s="40">
        <v>40000</v>
      </c>
      <c r="H96" s="35">
        <v>0</v>
      </c>
      <c r="I96" s="35">
        <f t="shared" si="5"/>
        <v>40000</v>
      </c>
      <c r="J96" s="36">
        <f t="shared" si="6"/>
        <v>0</v>
      </c>
      <c r="K96" s="48" t="s">
        <v>14</v>
      </c>
      <c r="L96" s="48" t="s">
        <v>15</v>
      </c>
      <c r="M96" s="38">
        <v>42735</v>
      </c>
      <c r="N96" s="48"/>
      <c r="O96" s="35">
        <v>40000</v>
      </c>
      <c r="P96" s="35"/>
      <c r="Q96" s="35"/>
      <c r="R96" s="35"/>
      <c r="S96" s="58"/>
      <c r="T96" s="58"/>
    </row>
    <row r="97" spans="1:20" s="15" customFormat="1" ht="26.25" customHeight="1" x14ac:dyDescent="0.2">
      <c r="A97" s="43" t="s">
        <v>312</v>
      </c>
      <c r="B97" s="46" t="s">
        <v>17</v>
      </c>
      <c r="C97" s="44" t="s">
        <v>320</v>
      </c>
      <c r="D97" s="54">
        <v>13351</v>
      </c>
      <c r="E97" s="46" t="s">
        <v>333</v>
      </c>
      <c r="F97" s="35">
        <f>15500*2</f>
        <v>31000</v>
      </c>
      <c r="G97" s="35">
        <f>15500*2</f>
        <v>31000</v>
      </c>
      <c r="H97" s="35">
        <v>0</v>
      </c>
      <c r="I97" s="35">
        <f t="shared" si="5"/>
        <v>31000</v>
      </c>
      <c r="J97" s="36">
        <f t="shared" si="6"/>
        <v>0</v>
      </c>
      <c r="K97" s="48" t="s">
        <v>14</v>
      </c>
      <c r="L97" s="48" t="s">
        <v>14</v>
      </c>
      <c r="M97" s="38">
        <v>42916</v>
      </c>
      <c r="N97" s="48" t="s">
        <v>18</v>
      </c>
      <c r="O97" s="35">
        <v>15500</v>
      </c>
      <c r="P97" s="35">
        <v>15500</v>
      </c>
      <c r="Q97" s="35"/>
      <c r="R97" s="35"/>
      <c r="S97" s="58"/>
      <c r="T97" s="58"/>
    </row>
    <row r="98" spans="1:20" s="15" customFormat="1" ht="26.25" customHeight="1" x14ac:dyDescent="0.2">
      <c r="A98" s="43" t="s">
        <v>334</v>
      </c>
      <c r="B98" s="46" t="s">
        <v>21</v>
      </c>
      <c r="C98" s="44" t="s">
        <v>341</v>
      </c>
      <c r="D98" s="54">
        <v>13247</v>
      </c>
      <c r="E98" s="46" t="s">
        <v>346</v>
      </c>
      <c r="F98" s="35">
        <f>95000*3</f>
        <v>285000</v>
      </c>
      <c r="G98" s="35">
        <f>95000*3</f>
        <v>285000</v>
      </c>
      <c r="H98" s="35">
        <v>0</v>
      </c>
      <c r="I98" s="35">
        <f t="shared" si="5"/>
        <v>285000</v>
      </c>
      <c r="J98" s="36">
        <f t="shared" si="6"/>
        <v>0</v>
      </c>
      <c r="K98" s="48" t="s">
        <v>14</v>
      </c>
      <c r="L98" s="48" t="s">
        <v>14</v>
      </c>
      <c r="M98" s="38">
        <v>42916</v>
      </c>
      <c r="N98" s="48" t="s">
        <v>18</v>
      </c>
      <c r="O98" s="35">
        <v>95000</v>
      </c>
      <c r="P98" s="35">
        <v>95000</v>
      </c>
      <c r="Q98" s="35">
        <v>95000</v>
      </c>
      <c r="R98" s="35"/>
      <c r="S98" s="58"/>
      <c r="T98" s="58"/>
    </row>
    <row r="99" spans="1:20" s="15" customFormat="1" ht="26.25" customHeight="1" x14ac:dyDescent="0.2">
      <c r="A99" s="43" t="s">
        <v>335</v>
      </c>
      <c r="B99" s="46" t="s">
        <v>21</v>
      </c>
      <c r="C99" s="44" t="s">
        <v>342</v>
      </c>
      <c r="D99" s="47">
        <v>13248</v>
      </c>
      <c r="E99" s="46" t="s">
        <v>347</v>
      </c>
      <c r="F99" s="35">
        <f>98000*3</f>
        <v>294000</v>
      </c>
      <c r="G99" s="35">
        <f>98000*3</f>
        <v>294000</v>
      </c>
      <c r="H99" s="35">
        <v>0</v>
      </c>
      <c r="I99" s="35">
        <f t="shared" si="5"/>
        <v>294000</v>
      </c>
      <c r="J99" s="36">
        <f t="shared" si="6"/>
        <v>0</v>
      </c>
      <c r="K99" s="48" t="s">
        <v>14</v>
      </c>
      <c r="L99" s="48" t="s">
        <v>14</v>
      </c>
      <c r="M99" s="38">
        <v>42916</v>
      </c>
      <c r="N99" s="48" t="s">
        <v>18</v>
      </c>
      <c r="O99" s="35">
        <v>98000</v>
      </c>
      <c r="P99" s="35">
        <v>98000</v>
      </c>
      <c r="Q99" s="35">
        <v>98000</v>
      </c>
      <c r="R99" s="35"/>
      <c r="S99" s="58"/>
      <c r="T99" s="58"/>
    </row>
    <row r="100" spans="1:20" s="15" customFormat="1" ht="26.25" customHeight="1" x14ac:dyDescent="0.2">
      <c r="A100" s="43" t="s">
        <v>336</v>
      </c>
      <c r="B100" s="46" t="s">
        <v>21</v>
      </c>
      <c r="C100" s="44" t="s">
        <v>343</v>
      </c>
      <c r="D100" s="47">
        <v>13249</v>
      </c>
      <c r="E100" s="46" t="s">
        <v>347</v>
      </c>
      <c r="F100" s="35">
        <f>98000*3</f>
        <v>294000</v>
      </c>
      <c r="G100" s="35">
        <f>98000*3</f>
        <v>294000</v>
      </c>
      <c r="H100" s="35">
        <v>0</v>
      </c>
      <c r="I100" s="35">
        <f t="shared" si="5"/>
        <v>294000</v>
      </c>
      <c r="J100" s="36">
        <f t="shared" si="6"/>
        <v>0</v>
      </c>
      <c r="K100" s="48" t="s">
        <v>14</v>
      </c>
      <c r="L100" s="48" t="s">
        <v>14</v>
      </c>
      <c r="M100" s="38">
        <v>42916</v>
      </c>
      <c r="N100" s="48" t="s">
        <v>18</v>
      </c>
      <c r="O100" s="35">
        <v>98000</v>
      </c>
      <c r="P100" s="35">
        <v>98000</v>
      </c>
      <c r="Q100" s="35">
        <v>98000</v>
      </c>
      <c r="R100" s="35"/>
      <c r="S100" s="58"/>
      <c r="T100" s="58"/>
    </row>
    <row r="101" spans="1:20" s="15" customFormat="1" ht="26.25" customHeight="1" x14ac:dyDescent="0.2">
      <c r="A101" s="43" t="s">
        <v>337</v>
      </c>
      <c r="B101" s="46" t="s">
        <v>166</v>
      </c>
      <c r="C101" s="44" t="s">
        <v>85</v>
      </c>
      <c r="D101" s="47">
        <v>13252</v>
      </c>
      <c r="E101" s="46" t="s">
        <v>348</v>
      </c>
      <c r="F101" s="35">
        <v>99500</v>
      </c>
      <c r="G101" s="35">
        <v>99500</v>
      </c>
      <c r="H101" s="35">
        <v>0</v>
      </c>
      <c r="I101" s="35">
        <f t="shared" si="5"/>
        <v>99500</v>
      </c>
      <c r="J101" s="36">
        <f t="shared" si="6"/>
        <v>0</v>
      </c>
      <c r="K101" s="48" t="s">
        <v>14</v>
      </c>
      <c r="L101" s="48" t="s">
        <v>15</v>
      </c>
      <c r="M101" s="38">
        <v>42825</v>
      </c>
      <c r="N101" s="48"/>
      <c r="O101" s="35">
        <v>99500</v>
      </c>
      <c r="P101" s="35"/>
      <c r="Q101" s="35"/>
      <c r="R101" s="35"/>
      <c r="S101" s="58"/>
      <c r="T101" s="58"/>
    </row>
    <row r="102" spans="1:20" s="15" customFormat="1" ht="26.25" customHeight="1" x14ac:dyDescent="0.2">
      <c r="A102" s="43" t="s">
        <v>338</v>
      </c>
      <c r="B102" s="46" t="s">
        <v>21</v>
      </c>
      <c r="C102" s="44" t="s">
        <v>56</v>
      </c>
      <c r="D102" s="47">
        <v>13258</v>
      </c>
      <c r="E102" s="46" t="s">
        <v>54</v>
      </c>
      <c r="F102" s="35">
        <f>60000*2</f>
        <v>120000</v>
      </c>
      <c r="G102" s="35">
        <f>60000*2</f>
        <v>120000</v>
      </c>
      <c r="H102" s="35">
        <v>0</v>
      </c>
      <c r="I102" s="35">
        <f t="shared" si="5"/>
        <v>120000</v>
      </c>
      <c r="J102" s="36">
        <f t="shared" si="6"/>
        <v>0</v>
      </c>
      <c r="K102" s="48" t="s">
        <v>14</v>
      </c>
      <c r="L102" s="48" t="s">
        <v>14</v>
      </c>
      <c r="M102" s="38">
        <v>42916</v>
      </c>
      <c r="N102" s="48" t="s">
        <v>18</v>
      </c>
      <c r="O102" s="35">
        <v>60000</v>
      </c>
      <c r="P102" s="35">
        <v>60000</v>
      </c>
      <c r="Q102" s="35"/>
      <c r="R102" s="35"/>
      <c r="S102" s="58"/>
      <c r="T102" s="58"/>
    </row>
    <row r="103" spans="1:20" s="15" customFormat="1" ht="26.25" customHeight="1" x14ac:dyDescent="0.2">
      <c r="A103" s="43" t="s">
        <v>339</v>
      </c>
      <c r="B103" s="46" t="s">
        <v>21</v>
      </c>
      <c r="C103" s="44" t="s">
        <v>344</v>
      </c>
      <c r="D103" s="47">
        <v>13271</v>
      </c>
      <c r="E103" s="46" t="s">
        <v>347</v>
      </c>
      <c r="F103" s="35">
        <f>98000*3</f>
        <v>294000</v>
      </c>
      <c r="G103" s="35">
        <f>98000*3</f>
        <v>294000</v>
      </c>
      <c r="H103" s="35">
        <v>0</v>
      </c>
      <c r="I103" s="35">
        <f t="shared" si="5"/>
        <v>294000</v>
      </c>
      <c r="J103" s="36">
        <f t="shared" si="6"/>
        <v>0</v>
      </c>
      <c r="K103" s="48" t="s">
        <v>14</v>
      </c>
      <c r="L103" s="48" t="s">
        <v>14</v>
      </c>
      <c r="M103" s="38">
        <v>42916</v>
      </c>
      <c r="N103" s="48" t="s">
        <v>18</v>
      </c>
      <c r="O103" s="35">
        <v>98000</v>
      </c>
      <c r="P103" s="35">
        <v>98000</v>
      </c>
      <c r="Q103" s="35">
        <v>98000</v>
      </c>
      <c r="R103" s="35"/>
      <c r="S103" s="58"/>
      <c r="T103" s="58"/>
    </row>
    <row r="104" spans="1:20" s="15" customFormat="1" ht="26.25" customHeight="1" x14ac:dyDescent="0.2">
      <c r="A104" s="43" t="s">
        <v>340</v>
      </c>
      <c r="B104" s="46" t="s">
        <v>21</v>
      </c>
      <c r="C104" s="44" t="s">
        <v>345</v>
      </c>
      <c r="D104" s="54">
        <v>13458</v>
      </c>
      <c r="E104" s="46" t="s">
        <v>349</v>
      </c>
      <c r="F104" s="35">
        <v>91404</v>
      </c>
      <c r="G104" s="40">
        <v>91404</v>
      </c>
      <c r="H104" s="35">
        <v>0</v>
      </c>
      <c r="I104" s="35">
        <f t="shared" si="5"/>
        <v>91404</v>
      </c>
      <c r="J104" s="36">
        <f t="shared" si="6"/>
        <v>0</v>
      </c>
      <c r="K104" s="48" t="s">
        <v>14</v>
      </c>
      <c r="L104" s="48" t="s">
        <v>15</v>
      </c>
      <c r="M104" s="38">
        <v>42674</v>
      </c>
      <c r="N104" s="48"/>
      <c r="O104" s="35">
        <v>91404</v>
      </c>
      <c r="P104" s="35"/>
      <c r="Q104" s="35"/>
      <c r="R104" s="35"/>
      <c r="S104" s="58"/>
      <c r="T104" s="58"/>
    </row>
    <row r="105" spans="1:20" s="15" customFormat="1" ht="26.25" customHeight="1" x14ac:dyDescent="0.2">
      <c r="A105" s="43" t="s">
        <v>350</v>
      </c>
      <c r="B105" s="46" t="s">
        <v>19</v>
      </c>
      <c r="C105" s="44" t="s">
        <v>34</v>
      </c>
      <c r="D105" s="47">
        <v>13322</v>
      </c>
      <c r="E105" s="46" t="s">
        <v>359</v>
      </c>
      <c r="F105" s="35">
        <v>60000</v>
      </c>
      <c r="G105" s="35">
        <v>60000</v>
      </c>
      <c r="H105" s="35">
        <v>0</v>
      </c>
      <c r="I105" s="35">
        <f t="shared" si="5"/>
        <v>60000</v>
      </c>
      <c r="J105" s="36">
        <f t="shared" si="6"/>
        <v>0</v>
      </c>
      <c r="K105" s="48" t="s">
        <v>14</v>
      </c>
      <c r="L105" s="48" t="s">
        <v>14</v>
      </c>
      <c r="M105" s="38">
        <v>42645</v>
      </c>
      <c r="N105" s="48"/>
      <c r="O105" s="35">
        <v>60000</v>
      </c>
      <c r="P105" s="35"/>
      <c r="Q105" s="35"/>
      <c r="R105" s="35"/>
      <c r="S105" s="58"/>
      <c r="T105" s="58"/>
    </row>
    <row r="106" spans="1:20" s="15" customFormat="1" ht="26.25" customHeight="1" x14ac:dyDescent="0.2">
      <c r="A106" s="43" t="s">
        <v>351</v>
      </c>
      <c r="B106" s="46" t="s">
        <v>22</v>
      </c>
      <c r="C106" s="44" t="s">
        <v>355</v>
      </c>
      <c r="D106" s="47">
        <v>13344</v>
      </c>
      <c r="E106" s="46" t="s">
        <v>360</v>
      </c>
      <c r="F106" s="35">
        <f>95000*3</f>
        <v>285000</v>
      </c>
      <c r="G106" s="35">
        <f>95000*3</f>
        <v>285000</v>
      </c>
      <c r="H106" s="35">
        <v>0</v>
      </c>
      <c r="I106" s="35">
        <f t="shared" si="5"/>
        <v>285000</v>
      </c>
      <c r="J106" s="36">
        <f t="shared" si="6"/>
        <v>0</v>
      </c>
      <c r="K106" s="48" t="s">
        <v>14</v>
      </c>
      <c r="L106" s="48" t="s">
        <v>14</v>
      </c>
      <c r="M106" s="38">
        <v>42978</v>
      </c>
      <c r="N106" s="48" t="s">
        <v>18</v>
      </c>
      <c r="O106" s="35">
        <v>95000</v>
      </c>
      <c r="P106" s="35">
        <v>95000</v>
      </c>
      <c r="Q106" s="35">
        <v>95000</v>
      </c>
      <c r="R106" s="35"/>
      <c r="S106" s="58"/>
      <c r="T106" s="58"/>
    </row>
    <row r="107" spans="1:20" s="15" customFormat="1" ht="26.25" customHeight="1" x14ac:dyDescent="0.2">
      <c r="A107" s="43" t="s">
        <v>352</v>
      </c>
      <c r="B107" s="46" t="s">
        <v>22</v>
      </c>
      <c r="C107" s="44" t="s">
        <v>356</v>
      </c>
      <c r="D107" s="47">
        <v>13345</v>
      </c>
      <c r="E107" s="46" t="s">
        <v>361</v>
      </c>
      <c r="F107" s="35">
        <f>95000*3</f>
        <v>285000</v>
      </c>
      <c r="G107" s="35">
        <f>95000*3</f>
        <v>285000</v>
      </c>
      <c r="H107" s="35">
        <v>0</v>
      </c>
      <c r="I107" s="35">
        <f t="shared" si="5"/>
        <v>285000</v>
      </c>
      <c r="J107" s="36">
        <f t="shared" si="6"/>
        <v>0</v>
      </c>
      <c r="K107" s="48" t="s">
        <v>14</v>
      </c>
      <c r="L107" s="48" t="s">
        <v>14</v>
      </c>
      <c r="M107" s="38">
        <v>42978</v>
      </c>
      <c r="N107" s="48" t="s">
        <v>18</v>
      </c>
      <c r="O107" s="35">
        <v>95000</v>
      </c>
      <c r="P107" s="35">
        <v>95000</v>
      </c>
      <c r="Q107" s="35">
        <v>95000</v>
      </c>
      <c r="R107" s="35"/>
      <c r="S107" s="58"/>
      <c r="T107" s="58"/>
    </row>
    <row r="108" spans="1:20" s="15" customFormat="1" ht="26.25" customHeight="1" x14ac:dyDescent="0.2">
      <c r="A108" s="43" t="s">
        <v>353</v>
      </c>
      <c r="B108" s="46" t="s">
        <v>21</v>
      </c>
      <c r="C108" s="44" t="s">
        <v>357</v>
      </c>
      <c r="D108" s="47">
        <v>13354</v>
      </c>
      <c r="E108" s="46" t="s">
        <v>362</v>
      </c>
      <c r="F108" s="35">
        <v>91554</v>
      </c>
      <c r="G108" s="35">
        <v>91554</v>
      </c>
      <c r="H108" s="35">
        <v>0</v>
      </c>
      <c r="I108" s="35">
        <f t="shared" si="5"/>
        <v>91554</v>
      </c>
      <c r="J108" s="36">
        <f t="shared" si="6"/>
        <v>0</v>
      </c>
      <c r="K108" s="48" t="s">
        <v>14</v>
      </c>
      <c r="L108" s="48" t="s">
        <v>15</v>
      </c>
      <c r="M108" s="38">
        <v>44926</v>
      </c>
      <c r="N108" s="48"/>
      <c r="O108" s="35">
        <v>91554</v>
      </c>
      <c r="P108" s="35"/>
      <c r="Q108" s="35"/>
      <c r="R108" s="35"/>
      <c r="S108" s="58"/>
      <c r="T108" s="58"/>
    </row>
    <row r="109" spans="1:20" s="15" customFormat="1" ht="26.25" customHeight="1" x14ac:dyDescent="0.2">
      <c r="A109" s="43" t="s">
        <v>354</v>
      </c>
      <c r="B109" s="46" t="s">
        <v>19</v>
      </c>
      <c r="C109" s="44" t="s">
        <v>358</v>
      </c>
      <c r="D109" s="47">
        <v>13356</v>
      </c>
      <c r="E109" s="46" t="s">
        <v>363</v>
      </c>
      <c r="F109" s="35">
        <f>89000*3</f>
        <v>267000</v>
      </c>
      <c r="G109" s="35">
        <f>89000*3</f>
        <v>267000</v>
      </c>
      <c r="H109" s="35">
        <v>0</v>
      </c>
      <c r="I109" s="35">
        <f t="shared" si="5"/>
        <v>267000</v>
      </c>
      <c r="J109" s="36">
        <f t="shared" si="6"/>
        <v>0</v>
      </c>
      <c r="K109" s="48" t="s">
        <v>14</v>
      </c>
      <c r="L109" s="48" t="s">
        <v>15</v>
      </c>
      <c r="M109" s="38">
        <v>42916</v>
      </c>
      <c r="N109" s="48" t="s">
        <v>18</v>
      </c>
      <c r="O109" s="35">
        <v>89000</v>
      </c>
      <c r="P109" s="35">
        <v>89000</v>
      </c>
      <c r="Q109" s="35">
        <v>89000</v>
      </c>
      <c r="R109" s="35"/>
      <c r="S109" s="58"/>
      <c r="T109" s="58"/>
    </row>
    <row r="110" spans="1:20" s="15" customFormat="1" ht="26.25" customHeight="1" x14ac:dyDescent="0.2">
      <c r="A110" s="43" t="s">
        <v>364</v>
      </c>
      <c r="B110" s="46" t="s">
        <v>22</v>
      </c>
      <c r="C110" s="44" t="s">
        <v>373</v>
      </c>
      <c r="D110" s="47">
        <v>13124</v>
      </c>
      <c r="E110" s="46" t="s">
        <v>379</v>
      </c>
      <c r="F110" s="35">
        <v>45000</v>
      </c>
      <c r="G110" s="40">
        <v>45000</v>
      </c>
      <c r="H110" s="35">
        <v>0</v>
      </c>
      <c r="I110" s="35">
        <f t="shared" si="5"/>
        <v>45000</v>
      </c>
      <c r="J110" s="36">
        <f t="shared" si="6"/>
        <v>0</v>
      </c>
      <c r="K110" s="48" t="s">
        <v>14</v>
      </c>
      <c r="L110" s="48" t="s">
        <v>14</v>
      </c>
      <c r="M110" s="38">
        <v>42916</v>
      </c>
      <c r="N110" s="48"/>
      <c r="O110" s="35">
        <v>45000</v>
      </c>
      <c r="P110" s="35"/>
      <c r="Q110" s="35"/>
      <c r="R110" s="35"/>
      <c r="S110" s="58"/>
      <c r="T110" s="58"/>
    </row>
    <row r="111" spans="1:20" s="15" customFormat="1" ht="18" customHeight="1" x14ac:dyDescent="0.2">
      <c r="A111" s="43" t="s">
        <v>365</v>
      </c>
      <c r="B111" s="46" t="s">
        <v>21</v>
      </c>
      <c r="C111" s="44" t="s">
        <v>374</v>
      </c>
      <c r="D111" s="54">
        <v>13226</v>
      </c>
      <c r="E111" s="46" t="s">
        <v>380</v>
      </c>
      <c r="F111" s="35">
        <v>15960</v>
      </c>
      <c r="G111" s="40">
        <v>15960</v>
      </c>
      <c r="H111" s="35">
        <v>0</v>
      </c>
      <c r="I111" s="35">
        <f t="shared" si="5"/>
        <v>15960</v>
      </c>
      <c r="J111" s="36">
        <f t="shared" si="6"/>
        <v>0</v>
      </c>
      <c r="K111" s="48" t="s">
        <v>14</v>
      </c>
      <c r="L111" s="48" t="s">
        <v>15</v>
      </c>
      <c r="M111" s="38">
        <v>42916</v>
      </c>
      <c r="N111" s="48"/>
      <c r="O111" s="35">
        <v>15960</v>
      </c>
      <c r="P111" s="35"/>
      <c r="Q111" s="35"/>
      <c r="R111" s="35"/>
      <c r="S111" s="58"/>
      <c r="T111" s="58"/>
    </row>
    <row r="112" spans="1:20" s="15" customFormat="1" ht="26.25" customHeight="1" x14ac:dyDescent="0.2">
      <c r="A112" s="43" t="s">
        <v>366</v>
      </c>
      <c r="B112" s="46" t="s">
        <v>30</v>
      </c>
      <c r="C112" s="44" t="s">
        <v>375</v>
      </c>
      <c r="D112" s="47">
        <v>13263</v>
      </c>
      <c r="E112" s="46" t="s">
        <v>381</v>
      </c>
      <c r="F112" s="35">
        <v>20200</v>
      </c>
      <c r="G112" s="35">
        <v>20200</v>
      </c>
      <c r="H112" s="35">
        <v>0</v>
      </c>
      <c r="I112" s="35">
        <f t="shared" si="5"/>
        <v>20200</v>
      </c>
      <c r="J112" s="36">
        <f t="shared" si="6"/>
        <v>0</v>
      </c>
      <c r="K112" s="48" t="s">
        <v>14</v>
      </c>
      <c r="L112" s="48" t="s">
        <v>14</v>
      </c>
      <c r="M112" s="38">
        <v>42681</v>
      </c>
      <c r="N112" s="48"/>
      <c r="O112" s="35">
        <v>20200</v>
      </c>
      <c r="P112" s="35"/>
      <c r="Q112" s="35"/>
      <c r="R112" s="35"/>
      <c r="S112" s="58"/>
      <c r="T112" s="58"/>
    </row>
    <row r="113" spans="1:20" s="15" customFormat="1" ht="26.25" customHeight="1" x14ac:dyDescent="0.2">
      <c r="A113" s="43" t="s">
        <v>367</v>
      </c>
      <c r="B113" s="46" t="s">
        <v>372</v>
      </c>
      <c r="C113" s="44" t="s">
        <v>376</v>
      </c>
      <c r="D113" s="47">
        <v>13306</v>
      </c>
      <c r="E113" s="46" t="s">
        <v>382</v>
      </c>
      <c r="F113" s="35">
        <f>13098*2</f>
        <v>26196</v>
      </c>
      <c r="G113" s="35">
        <f>13098*2</f>
        <v>26196</v>
      </c>
      <c r="H113" s="35">
        <v>0</v>
      </c>
      <c r="I113" s="35">
        <f t="shared" si="5"/>
        <v>26196</v>
      </c>
      <c r="J113" s="36">
        <f t="shared" si="6"/>
        <v>0</v>
      </c>
      <c r="K113" s="48" t="s">
        <v>14</v>
      </c>
      <c r="L113" s="48" t="s">
        <v>14</v>
      </c>
      <c r="M113" s="38">
        <v>42916</v>
      </c>
      <c r="N113" s="48" t="s">
        <v>18</v>
      </c>
      <c r="O113" s="35">
        <v>13098</v>
      </c>
      <c r="P113" s="35">
        <v>13098</v>
      </c>
      <c r="Q113" s="35"/>
      <c r="R113" s="35"/>
      <c r="S113" s="58"/>
      <c r="T113" s="58"/>
    </row>
    <row r="114" spans="1:20" s="15" customFormat="1" ht="26.25" customHeight="1" x14ac:dyDescent="0.2">
      <c r="A114" s="43" t="s">
        <v>368</v>
      </c>
      <c r="B114" s="46" t="s">
        <v>26</v>
      </c>
      <c r="C114" s="44" t="s">
        <v>63</v>
      </c>
      <c r="D114" s="54" t="s">
        <v>378</v>
      </c>
      <c r="E114" s="46" t="s">
        <v>383</v>
      </c>
      <c r="F114" s="35">
        <v>30000</v>
      </c>
      <c r="G114" s="40">
        <v>5000</v>
      </c>
      <c r="H114" s="35">
        <f>30000+25000+35000+10000+50000+39000+30000</f>
        <v>219000</v>
      </c>
      <c r="I114" s="35">
        <f t="shared" si="5"/>
        <v>224000</v>
      </c>
      <c r="J114" s="36">
        <f t="shared" si="6"/>
        <v>43.8</v>
      </c>
      <c r="K114" s="48" t="s">
        <v>14</v>
      </c>
      <c r="L114" s="48" t="s">
        <v>14</v>
      </c>
      <c r="M114" s="38">
        <v>42916</v>
      </c>
      <c r="N114" s="48" t="s">
        <v>28</v>
      </c>
      <c r="O114" s="35">
        <v>30000</v>
      </c>
      <c r="P114" s="35"/>
      <c r="Q114" s="35"/>
      <c r="R114" s="35"/>
      <c r="S114" s="58"/>
      <c r="T114" s="58"/>
    </row>
    <row r="115" spans="1:20" s="15" customFormat="1" ht="26.25" customHeight="1" x14ac:dyDescent="0.2">
      <c r="A115" s="43" t="s">
        <v>369</v>
      </c>
      <c r="B115" s="46" t="s">
        <v>69</v>
      </c>
      <c r="C115" s="44" t="s">
        <v>32</v>
      </c>
      <c r="D115" s="47">
        <v>13366</v>
      </c>
      <c r="E115" s="46" t="s">
        <v>384</v>
      </c>
      <c r="F115" s="35">
        <f>24756*3</f>
        <v>74268</v>
      </c>
      <c r="G115" s="35">
        <f>24756*3</f>
        <v>74268</v>
      </c>
      <c r="H115" s="35">
        <v>0</v>
      </c>
      <c r="I115" s="35">
        <f t="shared" si="5"/>
        <v>74268</v>
      </c>
      <c r="J115" s="36">
        <f t="shared" si="6"/>
        <v>0</v>
      </c>
      <c r="K115" s="48" t="s">
        <v>14</v>
      </c>
      <c r="L115" s="48" t="s">
        <v>14</v>
      </c>
      <c r="M115" s="38">
        <v>43008</v>
      </c>
      <c r="N115" s="48" t="s">
        <v>18</v>
      </c>
      <c r="O115" s="35">
        <v>24756</v>
      </c>
      <c r="P115" s="35">
        <v>24756</v>
      </c>
      <c r="Q115" s="35">
        <v>24756</v>
      </c>
      <c r="R115" s="35"/>
      <c r="S115" s="58"/>
      <c r="T115" s="58"/>
    </row>
    <row r="116" spans="1:20" s="15" customFormat="1" ht="26.25" customHeight="1" x14ac:dyDescent="0.2">
      <c r="A116" s="43" t="s">
        <v>370</v>
      </c>
      <c r="B116" s="46" t="s">
        <v>69</v>
      </c>
      <c r="C116" s="44" t="s">
        <v>377</v>
      </c>
      <c r="D116" s="47">
        <v>13367</v>
      </c>
      <c r="E116" s="46" t="s">
        <v>385</v>
      </c>
      <c r="F116" s="35">
        <v>18000</v>
      </c>
      <c r="G116" s="40">
        <v>18000</v>
      </c>
      <c r="H116" s="35">
        <v>0</v>
      </c>
      <c r="I116" s="35">
        <f t="shared" si="5"/>
        <v>18000</v>
      </c>
      <c r="J116" s="36">
        <f t="shared" si="6"/>
        <v>0</v>
      </c>
      <c r="K116" s="48" t="s">
        <v>14</v>
      </c>
      <c r="L116" s="48" t="s">
        <v>14</v>
      </c>
      <c r="M116" s="38">
        <v>43008</v>
      </c>
      <c r="N116" s="48"/>
      <c r="O116" s="35">
        <v>18000</v>
      </c>
      <c r="P116" s="35"/>
      <c r="Q116" s="35"/>
      <c r="R116" s="35"/>
      <c r="S116" s="58"/>
      <c r="T116" s="58"/>
    </row>
    <row r="117" spans="1:20" s="15" customFormat="1" ht="26.25" customHeight="1" x14ac:dyDescent="0.2">
      <c r="A117" s="43" t="s">
        <v>371</v>
      </c>
      <c r="B117" s="46" t="s">
        <v>69</v>
      </c>
      <c r="C117" s="44" t="s">
        <v>60</v>
      </c>
      <c r="D117" s="47">
        <v>13376</v>
      </c>
      <c r="E117" s="55" t="s">
        <v>386</v>
      </c>
      <c r="F117" s="35">
        <v>45000</v>
      </c>
      <c r="G117" s="40">
        <v>45000</v>
      </c>
      <c r="H117" s="35">
        <v>0</v>
      </c>
      <c r="I117" s="35">
        <f t="shared" si="5"/>
        <v>45000</v>
      </c>
      <c r="J117" s="36">
        <f t="shared" si="6"/>
        <v>0</v>
      </c>
      <c r="K117" s="48" t="s">
        <v>14</v>
      </c>
      <c r="L117" s="48" t="s">
        <v>14</v>
      </c>
      <c r="M117" s="52">
        <v>42993</v>
      </c>
      <c r="N117" s="48"/>
      <c r="O117" s="35">
        <v>45000</v>
      </c>
      <c r="P117" s="35"/>
      <c r="Q117" s="35"/>
      <c r="R117" s="35"/>
      <c r="S117" s="58"/>
      <c r="T117" s="58"/>
    </row>
    <row r="118" spans="1:20" s="15" customFormat="1" ht="26.25" customHeight="1" x14ac:dyDescent="0.2">
      <c r="A118" s="43" t="s">
        <v>387</v>
      </c>
      <c r="B118" s="46" t="s">
        <v>69</v>
      </c>
      <c r="C118" s="44" t="s">
        <v>389</v>
      </c>
      <c r="D118" s="47">
        <v>13393</v>
      </c>
      <c r="E118" s="46" t="s">
        <v>390</v>
      </c>
      <c r="F118" s="35">
        <f>87000*3</f>
        <v>261000</v>
      </c>
      <c r="G118" s="35">
        <f>87000*3</f>
        <v>261000</v>
      </c>
      <c r="H118" s="35">
        <v>0</v>
      </c>
      <c r="I118" s="35">
        <f t="shared" si="5"/>
        <v>261000</v>
      </c>
      <c r="J118" s="36">
        <f t="shared" si="6"/>
        <v>0</v>
      </c>
      <c r="K118" s="48" t="s">
        <v>14</v>
      </c>
      <c r="L118" s="48" t="s">
        <v>14</v>
      </c>
      <c r="M118" s="38">
        <v>43008</v>
      </c>
      <c r="N118" s="48" t="s">
        <v>18</v>
      </c>
      <c r="O118" s="35">
        <v>87000</v>
      </c>
      <c r="P118" s="35">
        <v>87000</v>
      </c>
      <c r="Q118" s="35">
        <v>87000</v>
      </c>
      <c r="R118" s="35"/>
      <c r="S118" s="58"/>
      <c r="T118" s="58"/>
    </row>
    <row r="119" spans="1:20" s="15" customFormat="1" ht="26.25" customHeight="1" x14ac:dyDescent="0.2">
      <c r="A119" s="43" t="s">
        <v>388</v>
      </c>
      <c r="B119" s="46" t="s">
        <v>69</v>
      </c>
      <c r="C119" s="44" t="s">
        <v>58</v>
      </c>
      <c r="D119" s="47">
        <v>13407</v>
      </c>
      <c r="E119" s="46" t="s">
        <v>391</v>
      </c>
      <c r="F119" s="35">
        <f>52530*3</f>
        <v>157590</v>
      </c>
      <c r="G119" s="35">
        <f>52530*3</f>
        <v>157590</v>
      </c>
      <c r="H119" s="35">
        <v>0</v>
      </c>
      <c r="I119" s="35">
        <f t="shared" si="5"/>
        <v>157590</v>
      </c>
      <c r="J119" s="36">
        <f t="shared" si="6"/>
        <v>0</v>
      </c>
      <c r="K119" s="48" t="s">
        <v>14</v>
      </c>
      <c r="L119" s="48" t="s">
        <v>14</v>
      </c>
      <c r="M119" s="38">
        <v>43002</v>
      </c>
      <c r="N119" s="48" t="s">
        <v>18</v>
      </c>
      <c r="O119" s="35">
        <v>52530</v>
      </c>
      <c r="P119" s="35">
        <v>52530</v>
      </c>
      <c r="Q119" s="35">
        <v>52530</v>
      </c>
      <c r="R119" s="35"/>
      <c r="S119" s="58"/>
      <c r="T119" s="58"/>
    </row>
    <row r="120" spans="1:20" s="15" customFormat="1" ht="26.25" customHeight="1" x14ac:dyDescent="0.2">
      <c r="A120" s="43" t="s">
        <v>393</v>
      </c>
      <c r="B120" s="46" t="s">
        <v>21</v>
      </c>
      <c r="C120" s="44" t="s">
        <v>398</v>
      </c>
      <c r="D120" s="47">
        <v>13340</v>
      </c>
      <c r="E120" s="46" t="s">
        <v>405</v>
      </c>
      <c r="F120" s="35">
        <v>13869</v>
      </c>
      <c r="G120" s="35">
        <v>13869</v>
      </c>
      <c r="H120" s="35">
        <v>0</v>
      </c>
      <c r="I120" s="35">
        <f t="shared" ref="I120:I128" si="7">G120+H120</f>
        <v>13869</v>
      </c>
      <c r="J120" s="36">
        <f t="shared" ref="J120:J128" si="8">IF(G120=0,100%,(I120-G120)/G120)</f>
        <v>0</v>
      </c>
      <c r="K120" s="48" t="s">
        <v>14</v>
      </c>
      <c r="L120" s="48" t="s">
        <v>14</v>
      </c>
      <c r="M120" s="38">
        <v>42916</v>
      </c>
      <c r="N120" s="48"/>
      <c r="O120" s="35">
        <v>13869</v>
      </c>
      <c r="P120" s="35"/>
      <c r="Q120" s="35"/>
      <c r="R120" s="35"/>
      <c r="S120" s="58"/>
      <c r="T120" s="58"/>
    </row>
    <row r="121" spans="1:20" s="15" customFormat="1" ht="26.25" customHeight="1" x14ac:dyDescent="0.2">
      <c r="A121" s="43" t="s">
        <v>394</v>
      </c>
      <c r="B121" s="46" t="s">
        <v>21</v>
      </c>
      <c r="C121" s="44" t="s">
        <v>399</v>
      </c>
      <c r="D121" s="47">
        <v>13341</v>
      </c>
      <c r="E121" s="46" t="s">
        <v>406</v>
      </c>
      <c r="F121" s="35">
        <v>17295</v>
      </c>
      <c r="G121" s="35">
        <v>17295</v>
      </c>
      <c r="H121" s="35">
        <v>0</v>
      </c>
      <c r="I121" s="35">
        <f t="shared" si="7"/>
        <v>17295</v>
      </c>
      <c r="J121" s="36">
        <f t="shared" si="8"/>
        <v>0</v>
      </c>
      <c r="K121" s="48" t="s">
        <v>14</v>
      </c>
      <c r="L121" s="48" t="s">
        <v>14</v>
      </c>
      <c r="M121" s="38">
        <v>42916</v>
      </c>
      <c r="N121" s="48"/>
      <c r="O121" s="35">
        <v>17295</v>
      </c>
      <c r="P121" s="35"/>
      <c r="Q121" s="35"/>
      <c r="R121" s="35"/>
      <c r="S121" s="58"/>
      <c r="T121" s="58"/>
    </row>
    <row r="122" spans="1:20" s="15" customFormat="1" ht="26.25" customHeight="1" x14ac:dyDescent="0.2">
      <c r="A122" s="43" t="s">
        <v>395</v>
      </c>
      <c r="B122" s="46" t="s">
        <v>35</v>
      </c>
      <c r="C122" s="44" t="s">
        <v>400</v>
      </c>
      <c r="D122" s="47">
        <v>13371</v>
      </c>
      <c r="E122" s="46" t="s">
        <v>402</v>
      </c>
      <c r="F122" s="35">
        <v>12450</v>
      </c>
      <c r="G122" s="35">
        <v>12450</v>
      </c>
      <c r="H122" s="35">
        <v>0</v>
      </c>
      <c r="I122" s="35">
        <f t="shared" si="7"/>
        <v>12450</v>
      </c>
      <c r="J122" s="36">
        <f t="shared" si="8"/>
        <v>0</v>
      </c>
      <c r="K122" s="48" t="s">
        <v>15</v>
      </c>
      <c r="L122" s="48" t="s">
        <v>15</v>
      </c>
      <c r="M122" s="38">
        <v>43084</v>
      </c>
      <c r="N122" s="48"/>
      <c r="O122" s="35">
        <v>12450</v>
      </c>
      <c r="P122" s="35"/>
      <c r="Q122" s="35"/>
      <c r="R122" s="35"/>
      <c r="S122" s="58"/>
      <c r="T122" s="58"/>
    </row>
    <row r="123" spans="1:20" s="15" customFormat="1" ht="26.25" customHeight="1" x14ac:dyDescent="0.2">
      <c r="A123" s="43" t="s">
        <v>396</v>
      </c>
      <c r="B123" s="46" t="s">
        <v>69</v>
      </c>
      <c r="C123" s="44" t="s">
        <v>84</v>
      </c>
      <c r="D123" s="47">
        <v>13411</v>
      </c>
      <c r="E123" s="46" t="s">
        <v>403</v>
      </c>
      <c r="F123" s="35">
        <v>22371</v>
      </c>
      <c r="G123" s="35">
        <v>22371</v>
      </c>
      <c r="H123" s="35">
        <v>0</v>
      </c>
      <c r="I123" s="35">
        <f t="shared" si="7"/>
        <v>22371</v>
      </c>
      <c r="J123" s="36">
        <f t="shared" si="8"/>
        <v>0</v>
      </c>
      <c r="K123" s="48" t="s">
        <v>14</v>
      </c>
      <c r="L123" s="48" t="s">
        <v>14</v>
      </c>
      <c r="M123" s="38">
        <v>43008</v>
      </c>
      <c r="N123" s="48"/>
      <c r="O123" s="35">
        <v>22371</v>
      </c>
      <c r="P123" s="35"/>
      <c r="Q123" s="35"/>
      <c r="R123" s="35"/>
      <c r="S123" s="58"/>
      <c r="T123" s="58"/>
    </row>
    <row r="124" spans="1:20" s="15" customFormat="1" ht="26.25" customHeight="1" x14ac:dyDescent="0.2">
      <c r="A124" s="43" t="s">
        <v>397</v>
      </c>
      <c r="B124" s="46" t="s">
        <v>69</v>
      </c>
      <c r="C124" s="44" t="s">
        <v>401</v>
      </c>
      <c r="D124" s="47">
        <v>13449</v>
      </c>
      <c r="E124" s="46" t="s">
        <v>404</v>
      </c>
      <c r="F124" s="35">
        <v>20475</v>
      </c>
      <c r="G124" s="35">
        <v>20475</v>
      </c>
      <c r="H124" s="35">
        <v>0</v>
      </c>
      <c r="I124" s="35">
        <f t="shared" si="7"/>
        <v>20475</v>
      </c>
      <c r="J124" s="36">
        <f t="shared" si="8"/>
        <v>0</v>
      </c>
      <c r="K124" s="48" t="s">
        <v>14</v>
      </c>
      <c r="L124" s="48" t="s">
        <v>14</v>
      </c>
      <c r="M124" s="38">
        <v>43008</v>
      </c>
      <c r="N124" s="48"/>
      <c r="O124" s="35">
        <v>20475</v>
      </c>
      <c r="P124" s="35"/>
      <c r="Q124" s="35"/>
      <c r="R124" s="35"/>
      <c r="S124" s="58"/>
      <c r="T124" s="58"/>
    </row>
    <row r="125" spans="1:20" s="15" customFormat="1" ht="26.25" customHeight="1" x14ac:dyDescent="0.2">
      <c r="A125" s="43" t="s">
        <v>407</v>
      </c>
      <c r="B125" s="46" t="s">
        <v>21</v>
      </c>
      <c r="C125" s="44" t="s">
        <v>410</v>
      </c>
      <c r="D125" s="47">
        <v>13387</v>
      </c>
      <c r="E125" s="46" t="s">
        <v>412</v>
      </c>
      <c r="F125" s="35">
        <f>98000*3</f>
        <v>294000</v>
      </c>
      <c r="G125" s="35">
        <f>98000*3</f>
        <v>294000</v>
      </c>
      <c r="H125" s="35">
        <v>0</v>
      </c>
      <c r="I125" s="35">
        <f t="shared" si="7"/>
        <v>294000</v>
      </c>
      <c r="J125" s="36">
        <f t="shared" si="8"/>
        <v>0</v>
      </c>
      <c r="K125" s="48" t="s">
        <v>14</v>
      </c>
      <c r="L125" s="48" t="s">
        <v>14</v>
      </c>
      <c r="M125" s="38">
        <v>42916</v>
      </c>
      <c r="N125" s="48" t="s">
        <v>18</v>
      </c>
      <c r="O125" s="35">
        <v>98000</v>
      </c>
      <c r="P125" s="35">
        <v>98000</v>
      </c>
      <c r="Q125" s="35">
        <v>98000</v>
      </c>
      <c r="R125" s="35"/>
      <c r="S125" s="58"/>
      <c r="T125" s="58"/>
    </row>
    <row r="126" spans="1:20" s="15" customFormat="1" ht="26.25" customHeight="1" x14ac:dyDescent="0.2">
      <c r="A126" s="43" t="s">
        <v>408</v>
      </c>
      <c r="B126" s="46" t="s">
        <v>21</v>
      </c>
      <c r="C126" s="44" t="s">
        <v>411</v>
      </c>
      <c r="D126" s="47">
        <v>13447</v>
      </c>
      <c r="E126" s="46" t="s">
        <v>413</v>
      </c>
      <c r="F126" s="35">
        <v>98000</v>
      </c>
      <c r="G126" s="35">
        <v>98000</v>
      </c>
      <c r="H126" s="35">
        <v>0</v>
      </c>
      <c r="I126" s="35">
        <f t="shared" si="7"/>
        <v>98000</v>
      </c>
      <c r="J126" s="36">
        <f t="shared" si="8"/>
        <v>0</v>
      </c>
      <c r="K126" s="48" t="s">
        <v>14</v>
      </c>
      <c r="L126" s="48" t="s">
        <v>15</v>
      </c>
      <c r="M126" s="38">
        <v>42794</v>
      </c>
      <c r="N126" s="48"/>
      <c r="O126" s="35">
        <v>98000</v>
      </c>
      <c r="P126" s="35"/>
      <c r="Q126" s="35"/>
      <c r="R126" s="35"/>
      <c r="S126" s="58"/>
      <c r="T126" s="58"/>
    </row>
    <row r="127" spans="1:20" s="15" customFormat="1" ht="26.25" customHeight="1" x14ac:dyDescent="0.2">
      <c r="A127" s="43" t="s">
        <v>409</v>
      </c>
      <c r="B127" s="46" t="s">
        <v>372</v>
      </c>
      <c r="C127" s="44" t="s">
        <v>376</v>
      </c>
      <c r="D127" s="47">
        <v>13487</v>
      </c>
      <c r="E127" s="46" t="s">
        <v>414</v>
      </c>
      <c r="F127" s="35">
        <v>99000</v>
      </c>
      <c r="G127" s="35">
        <v>99000</v>
      </c>
      <c r="H127" s="35">
        <v>0</v>
      </c>
      <c r="I127" s="35">
        <f t="shared" si="7"/>
        <v>99000</v>
      </c>
      <c r="J127" s="36">
        <f t="shared" si="8"/>
        <v>0</v>
      </c>
      <c r="K127" s="48" t="s">
        <v>14</v>
      </c>
      <c r="L127" s="48" t="s">
        <v>14</v>
      </c>
      <c r="M127" s="38">
        <v>42916</v>
      </c>
      <c r="N127" s="48"/>
      <c r="O127" s="35">
        <v>99000</v>
      </c>
      <c r="P127" s="35"/>
      <c r="Q127" s="35"/>
      <c r="R127" s="35"/>
      <c r="S127" s="58"/>
      <c r="T127" s="58"/>
    </row>
    <row r="128" spans="1:20" s="15" customFormat="1" ht="26.25" customHeight="1" x14ac:dyDescent="0.2">
      <c r="A128" s="43" t="s">
        <v>415</v>
      </c>
      <c r="B128" s="46" t="s">
        <v>19</v>
      </c>
      <c r="C128" s="44" t="s">
        <v>422</v>
      </c>
      <c r="D128" s="47">
        <v>12946</v>
      </c>
      <c r="E128" s="46" t="s">
        <v>429</v>
      </c>
      <c r="F128" s="35">
        <v>30000</v>
      </c>
      <c r="G128" s="35">
        <v>30000</v>
      </c>
      <c r="H128" s="35">
        <v>0</v>
      </c>
      <c r="I128" s="35">
        <f t="shared" si="7"/>
        <v>30000</v>
      </c>
      <c r="J128" s="36">
        <f t="shared" si="8"/>
        <v>0</v>
      </c>
      <c r="K128" s="48" t="s">
        <v>14</v>
      </c>
      <c r="L128" s="48" t="s">
        <v>14</v>
      </c>
      <c r="M128" s="38">
        <v>42916</v>
      </c>
      <c r="N128" s="48"/>
      <c r="O128" s="35">
        <v>30000</v>
      </c>
      <c r="P128" s="35"/>
      <c r="Q128" s="35"/>
      <c r="R128" s="35"/>
      <c r="S128" s="58"/>
      <c r="T128" s="58"/>
    </row>
    <row r="129" spans="1:20" s="15" customFormat="1" ht="26.25" customHeight="1" x14ac:dyDescent="0.2">
      <c r="A129" s="43" t="s">
        <v>416</v>
      </c>
      <c r="B129" s="46" t="s">
        <v>19</v>
      </c>
      <c r="C129" s="44" t="s">
        <v>423</v>
      </c>
      <c r="D129" s="47">
        <v>13328</v>
      </c>
      <c r="E129" s="46" t="s">
        <v>434</v>
      </c>
      <c r="F129" s="35">
        <v>15000</v>
      </c>
      <c r="G129" s="35">
        <v>15000</v>
      </c>
      <c r="H129" s="35">
        <v>0</v>
      </c>
      <c r="I129" s="35">
        <f t="shared" ref="I129:I134" si="9">G129+H129</f>
        <v>15000</v>
      </c>
      <c r="J129" s="36">
        <f t="shared" ref="J129:J134" si="10">IF(G129=0,100%,(I129-G129)/G129)</f>
        <v>0</v>
      </c>
      <c r="K129" s="48" t="s">
        <v>14</v>
      </c>
      <c r="L129" s="48" t="s">
        <v>14</v>
      </c>
      <c r="M129" s="38">
        <v>42916</v>
      </c>
      <c r="N129" s="48"/>
      <c r="O129" s="35">
        <v>15000</v>
      </c>
      <c r="P129" s="35"/>
      <c r="Q129" s="35"/>
      <c r="R129" s="35"/>
      <c r="S129" s="58"/>
      <c r="T129" s="58"/>
    </row>
    <row r="130" spans="1:20" s="15" customFormat="1" ht="26.25" customHeight="1" x14ac:dyDescent="0.2">
      <c r="A130" s="43" t="s">
        <v>417</v>
      </c>
      <c r="B130" s="46" t="s">
        <v>30</v>
      </c>
      <c r="C130" s="44" t="s">
        <v>424</v>
      </c>
      <c r="D130" s="47">
        <v>13450</v>
      </c>
      <c r="E130" s="46" t="s">
        <v>430</v>
      </c>
      <c r="F130" s="35">
        <v>24800</v>
      </c>
      <c r="G130" s="35">
        <v>24800</v>
      </c>
      <c r="H130" s="35">
        <v>0</v>
      </c>
      <c r="I130" s="35">
        <f t="shared" si="9"/>
        <v>24800</v>
      </c>
      <c r="J130" s="36">
        <f t="shared" si="10"/>
        <v>0</v>
      </c>
      <c r="K130" s="48" t="s">
        <v>14</v>
      </c>
      <c r="L130" s="48" t="s">
        <v>15</v>
      </c>
      <c r="M130" s="38">
        <v>43038</v>
      </c>
      <c r="N130" s="48"/>
      <c r="O130" s="35">
        <v>24800</v>
      </c>
      <c r="P130" s="35"/>
      <c r="Q130" s="35"/>
      <c r="R130" s="35"/>
      <c r="S130" s="58"/>
      <c r="T130" s="58"/>
    </row>
    <row r="131" spans="1:20" s="15" customFormat="1" ht="26.25" customHeight="1" x14ac:dyDescent="0.2">
      <c r="A131" s="43" t="s">
        <v>418</v>
      </c>
      <c r="B131" s="46" t="s">
        <v>26</v>
      </c>
      <c r="C131" s="44" t="s">
        <v>425</v>
      </c>
      <c r="D131" s="47">
        <v>13460</v>
      </c>
      <c r="E131" s="46" t="s">
        <v>431</v>
      </c>
      <c r="F131" s="35">
        <v>25000</v>
      </c>
      <c r="G131" s="35">
        <v>25000</v>
      </c>
      <c r="H131" s="35">
        <v>0</v>
      </c>
      <c r="I131" s="35">
        <f t="shared" si="9"/>
        <v>25000</v>
      </c>
      <c r="J131" s="36">
        <f t="shared" si="10"/>
        <v>0</v>
      </c>
      <c r="K131" s="48" t="s">
        <v>14</v>
      </c>
      <c r="L131" s="48" t="s">
        <v>14</v>
      </c>
      <c r="M131" s="38">
        <v>42916</v>
      </c>
      <c r="N131" s="48"/>
      <c r="O131" s="35">
        <v>25000</v>
      </c>
      <c r="P131" s="35"/>
      <c r="Q131" s="35"/>
      <c r="R131" s="35"/>
      <c r="S131" s="58"/>
      <c r="T131" s="58"/>
    </row>
    <row r="132" spans="1:20" s="15" customFormat="1" ht="26.25" customHeight="1" x14ac:dyDescent="0.2">
      <c r="A132" s="43" t="s">
        <v>419</v>
      </c>
      <c r="B132" s="46" t="s">
        <v>19</v>
      </c>
      <c r="C132" s="44" t="s">
        <v>426</v>
      </c>
      <c r="D132" s="47">
        <v>13484</v>
      </c>
      <c r="E132" s="46" t="s">
        <v>432</v>
      </c>
      <c r="F132" s="35">
        <v>5293</v>
      </c>
      <c r="G132" s="35">
        <v>5293</v>
      </c>
      <c r="H132" s="35">
        <v>0</v>
      </c>
      <c r="I132" s="35">
        <f t="shared" si="9"/>
        <v>5293</v>
      </c>
      <c r="J132" s="36">
        <f t="shared" si="10"/>
        <v>0</v>
      </c>
      <c r="K132" s="48" t="s">
        <v>14</v>
      </c>
      <c r="L132" s="48" t="s">
        <v>14</v>
      </c>
      <c r="M132" s="38">
        <v>42643</v>
      </c>
      <c r="N132" s="48"/>
      <c r="O132" s="35">
        <v>5293</v>
      </c>
      <c r="P132" s="35"/>
      <c r="Q132" s="35"/>
      <c r="R132" s="35"/>
      <c r="S132" s="58"/>
      <c r="T132" s="58"/>
    </row>
    <row r="133" spans="1:20" s="15" customFormat="1" ht="26.25" customHeight="1" x14ac:dyDescent="0.2">
      <c r="A133" s="43" t="s">
        <v>420</v>
      </c>
      <c r="B133" s="46" t="s">
        <v>17</v>
      </c>
      <c r="C133" s="44" t="s">
        <v>427</v>
      </c>
      <c r="D133" s="47">
        <v>13492</v>
      </c>
      <c r="E133" s="46" t="s">
        <v>433</v>
      </c>
      <c r="F133" s="35">
        <f>45000*2</f>
        <v>90000</v>
      </c>
      <c r="G133" s="35">
        <f>45000*2</f>
        <v>90000</v>
      </c>
      <c r="H133" s="35">
        <v>0</v>
      </c>
      <c r="I133" s="35">
        <f t="shared" si="9"/>
        <v>90000</v>
      </c>
      <c r="J133" s="36">
        <f t="shared" si="10"/>
        <v>0</v>
      </c>
      <c r="K133" s="48" t="s">
        <v>14</v>
      </c>
      <c r="L133" s="48" t="s">
        <v>15</v>
      </c>
      <c r="M133" s="38">
        <v>42916</v>
      </c>
      <c r="N133" s="48" t="s">
        <v>18</v>
      </c>
      <c r="O133" s="35">
        <v>45000</v>
      </c>
      <c r="P133" s="35">
        <v>45000</v>
      </c>
      <c r="Q133" s="35"/>
      <c r="R133" s="35"/>
      <c r="S133" s="58"/>
      <c r="T133" s="58"/>
    </row>
    <row r="134" spans="1:20" s="15" customFormat="1" ht="26.25" customHeight="1" x14ac:dyDescent="0.2">
      <c r="A134" s="43" t="s">
        <v>421</v>
      </c>
      <c r="B134" s="46" t="s">
        <v>21</v>
      </c>
      <c r="C134" s="44" t="s">
        <v>428</v>
      </c>
      <c r="D134" s="47">
        <v>13490</v>
      </c>
      <c r="E134" s="46" t="s">
        <v>435</v>
      </c>
      <c r="F134" s="35">
        <v>32000</v>
      </c>
      <c r="G134" s="35">
        <v>32000</v>
      </c>
      <c r="H134" s="35">
        <v>0</v>
      </c>
      <c r="I134" s="35">
        <f t="shared" si="9"/>
        <v>32000</v>
      </c>
      <c r="J134" s="36">
        <f t="shared" si="10"/>
        <v>0</v>
      </c>
      <c r="K134" s="48" t="s">
        <v>14</v>
      </c>
      <c r="L134" s="48" t="s">
        <v>14</v>
      </c>
      <c r="M134" s="38">
        <v>42766</v>
      </c>
      <c r="N134" s="48"/>
      <c r="O134" s="35">
        <v>32000</v>
      </c>
      <c r="P134" s="35"/>
      <c r="Q134" s="35"/>
      <c r="R134" s="35"/>
      <c r="S134" s="58"/>
      <c r="T134" s="58"/>
    </row>
    <row r="135" spans="1:20" s="15" customFormat="1" ht="26.25" customHeight="1" x14ac:dyDescent="0.2">
      <c r="A135" s="43" t="s">
        <v>436</v>
      </c>
      <c r="B135" s="46" t="s">
        <v>69</v>
      </c>
      <c r="C135" s="44" t="s">
        <v>438</v>
      </c>
      <c r="D135" s="47">
        <v>13477</v>
      </c>
      <c r="E135" s="46" t="s">
        <v>440</v>
      </c>
      <c r="F135" s="35">
        <v>98400</v>
      </c>
      <c r="G135" s="35">
        <v>98400</v>
      </c>
      <c r="H135" s="35">
        <v>0</v>
      </c>
      <c r="I135" s="35">
        <f t="shared" ref="I135:I142" si="11">G135+H135</f>
        <v>98400</v>
      </c>
      <c r="J135" s="36">
        <f t="shared" ref="J135:J142" si="12">IF(G135=0,100%,(I135-G135)/G135)</f>
        <v>0</v>
      </c>
      <c r="K135" s="48" t="s">
        <v>14</v>
      </c>
      <c r="L135" s="48" t="s">
        <v>14</v>
      </c>
      <c r="M135" s="38">
        <v>43070</v>
      </c>
      <c r="N135" s="48"/>
      <c r="O135" s="35">
        <v>98400</v>
      </c>
      <c r="P135" s="35"/>
      <c r="Q135" s="35"/>
      <c r="R135" s="35"/>
      <c r="S135" s="58"/>
      <c r="T135" s="58"/>
    </row>
    <row r="136" spans="1:20" s="15" customFormat="1" ht="26.25" customHeight="1" x14ac:dyDescent="0.2">
      <c r="A136" s="43" t="s">
        <v>437</v>
      </c>
      <c r="B136" s="46" t="s">
        <v>69</v>
      </c>
      <c r="C136" s="44" t="s">
        <v>439</v>
      </c>
      <c r="D136" s="47">
        <v>13502</v>
      </c>
      <c r="E136" s="46" t="s">
        <v>441</v>
      </c>
      <c r="F136" s="35">
        <v>99000</v>
      </c>
      <c r="G136" s="35">
        <v>99000</v>
      </c>
      <c r="H136" s="35">
        <v>0</v>
      </c>
      <c r="I136" s="35">
        <f t="shared" si="11"/>
        <v>99000</v>
      </c>
      <c r="J136" s="36">
        <f t="shared" si="12"/>
        <v>0</v>
      </c>
      <c r="K136" s="48" t="s">
        <v>14</v>
      </c>
      <c r="L136" s="48" t="s">
        <v>14</v>
      </c>
      <c r="M136" s="38">
        <v>43023</v>
      </c>
      <c r="N136" s="48"/>
      <c r="O136" s="35">
        <v>99000</v>
      </c>
      <c r="P136" s="35"/>
      <c r="Q136" s="35"/>
      <c r="R136" s="35"/>
      <c r="S136" s="58"/>
      <c r="T136" s="58"/>
    </row>
    <row r="137" spans="1:20" s="15" customFormat="1" ht="26.25" customHeight="1" x14ac:dyDescent="0.2">
      <c r="A137" s="43" t="s">
        <v>442</v>
      </c>
      <c r="B137" s="46" t="s">
        <v>21</v>
      </c>
      <c r="C137" s="44" t="s">
        <v>448</v>
      </c>
      <c r="D137" s="47">
        <v>13486</v>
      </c>
      <c r="E137" s="46" t="s">
        <v>454</v>
      </c>
      <c r="F137" s="35">
        <v>50000</v>
      </c>
      <c r="G137" s="35">
        <v>50000</v>
      </c>
      <c r="H137" s="35">
        <v>0</v>
      </c>
      <c r="I137" s="35">
        <f t="shared" si="11"/>
        <v>50000</v>
      </c>
      <c r="J137" s="36">
        <f t="shared" si="12"/>
        <v>0</v>
      </c>
      <c r="K137" s="48" t="s">
        <v>15</v>
      </c>
      <c r="L137" s="48" t="s">
        <v>14</v>
      </c>
      <c r="M137" s="38">
        <v>43468</v>
      </c>
      <c r="N137" s="48"/>
      <c r="O137" s="35">
        <v>50000</v>
      </c>
      <c r="P137" s="35"/>
      <c r="Q137" s="35"/>
      <c r="R137" s="35"/>
      <c r="S137" s="58"/>
      <c r="T137" s="58"/>
    </row>
    <row r="138" spans="1:20" s="15" customFormat="1" ht="18" customHeight="1" x14ac:dyDescent="0.2">
      <c r="A138" s="43" t="s">
        <v>443</v>
      </c>
      <c r="B138" s="46" t="s">
        <v>820</v>
      </c>
      <c r="C138" s="44"/>
      <c r="D138" s="47"/>
      <c r="E138" s="46"/>
      <c r="F138" s="35"/>
      <c r="G138" s="35"/>
      <c r="H138" s="35"/>
      <c r="I138" s="35"/>
      <c r="J138" s="36"/>
      <c r="K138" s="48"/>
      <c r="L138" s="48"/>
      <c r="M138" s="38"/>
      <c r="N138" s="48"/>
      <c r="O138" s="35"/>
      <c r="P138" s="35"/>
      <c r="Q138" s="35"/>
      <c r="R138" s="35"/>
      <c r="S138" s="58"/>
      <c r="T138" s="58"/>
    </row>
    <row r="139" spans="1:20" s="15" customFormat="1" ht="26.25" customHeight="1" x14ac:dyDescent="0.2">
      <c r="A139" s="43" t="s">
        <v>444</v>
      </c>
      <c r="B139" s="46" t="s">
        <v>26</v>
      </c>
      <c r="C139" s="44" t="s">
        <v>450</v>
      </c>
      <c r="D139" s="47">
        <v>13530</v>
      </c>
      <c r="E139" s="46" t="s">
        <v>456</v>
      </c>
      <c r="F139" s="35">
        <v>99000</v>
      </c>
      <c r="G139" s="35">
        <v>99000</v>
      </c>
      <c r="H139" s="35">
        <v>0</v>
      </c>
      <c r="I139" s="35">
        <f t="shared" si="11"/>
        <v>99000</v>
      </c>
      <c r="J139" s="36">
        <f t="shared" si="12"/>
        <v>0</v>
      </c>
      <c r="K139" s="48" t="s">
        <v>14</v>
      </c>
      <c r="L139" s="48" t="s">
        <v>14</v>
      </c>
      <c r="M139" s="38">
        <v>43281</v>
      </c>
      <c r="N139" s="48"/>
      <c r="O139" s="35">
        <v>99000</v>
      </c>
      <c r="P139" s="35"/>
      <c r="Q139" s="35"/>
      <c r="R139" s="35"/>
      <c r="S139" s="58"/>
      <c r="T139" s="58"/>
    </row>
    <row r="140" spans="1:20" s="15" customFormat="1" ht="26.25" customHeight="1" x14ac:dyDescent="0.2">
      <c r="A140" s="43" t="s">
        <v>445</v>
      </c>
      <c r="B140" s="46" t="s">
        <v>19</v>
      </c>
      <c r="C140" s="44" t="s">
        <v>451</v>
      </c>
      <c r="D140" s="47">
        <v>13534</v>
      </c>
      <c r="E140" s="46" t="s">
        <v>457</v>
      </c>
      <c r="F140" s="35">
        <v>65525</v>
      </c>
      <c r="G140" s="35">
        <v>65525</v>
      </c>
      <c r="H140" s="35">
        <v>0</v>
      </c>
      <c r="I140" s="35">
        <f t="shared" si="11"/>
        <v>65525</v>
      </c>
      <c r="J140" s="36">
        <f t="shared" si="12"/>
        <v>0</v>
      </c>
      <c r="K140" s="48" t="s">
        <v>14</v>
      </c>
      <c r="L140" s="48" t="s">
        <v>14</v>
      </c>
      <c r="M140" s="38">
        <v>42704</v>
      </c>
      <c r="N140" s="48"/>
      <c r="O140" s="35">
        <v>65525</v>
      </c>
      <c r="P140" s="35"/>
      <c r="Q140" s="35"/>
      <c r="R140" s="35"/>
      <c r="S140" s="58"/>
      <c r="T140" s="58"/>
    </row>
    <row r="141" spans="1:20" s="15" customFormat="1" ht="26.25" customHeight="1" x14ac:dyDescent="0.2">
      <c r="A141" s="43" t="s">
        <v>446</v>
      </c>
      <c r="B141" s="46" t="s">
        <v>21</v>
      </c>
      <c r="C141" s="44" t="s">
        <v>452</v>
      </c>
      <c r="D141" s="47">
        <v>13548</v>
      </c>
      <c r="E141" s="46" t="s">
        <v>458</v>
      </c>
      <c r="F141" s="35">
        <v>54400</v>
      </c>
      <c r="G141" s="35">
        <v>54400</v>
      </c>
      <c r="H141" s="35">
        <v>0</v>
      </c>
      <c r="I141" s="35">
        <f t="shared" si="11"/>
        <v>54400</v>
      </c>
      <c r="J141" s="36">
        <f t="shared" si="12"/>
        <v>0</v>
      </c>
      <c r="K141" s="48" t="s">
        <v>15</v>
      </c>
      <c r="L141" s="48" t="s">
        <v>14</v>
      </c>
      <c r="M141" s="38">
        <v>43069</v>
      </c>
      <c r="N141" s="48"/>
      <c r="O141" s="35">
        <v>54400</v>
      </c>
      <c r="P141" s="35"/>
      <c r="Q141" s="35"/>
      <c r="R141" s="35"/>
      <c r="S141" s="58"/>
      <c r="T141" s="58"/>
    </row>
    <row r="142" spans="1:20" s="15" customFormat="1" ht="26.25" customHeight="1" x14ac:dyDescent="0.2">
      <c r="A142" s="43" t="s">
        <v>447</v>
      </c>
      <c r="B142" s="46" t="s">
        <v>19</v>
      </c>
      <c r="C142" s="44" t="s">
        <v>453</v>
      </c>
      <c r="D142" s="47">
        <v>13551</v>
      </c>
      <c r="E142" s="46" t="s">
        <v>457</v>
      </c>
      <c r="F142" s="35">
        <v>86230</v>
      </c>
      <c r="G142" s="35">
        <v>86230</v>
      </c>
      <c r="H142" s="35">
        <v>0</v>
      </c>
      <c r="I142" s="35">
        <f t="shared" si="11"/>
        <v>86230</v>
      </c>
      <c r="J142" s="36">
        <f t="shared" si="12"/>
        <v>0</v>
      </c>
      <c r="K142" s="48" t="s">
        <v>14</v>
      </c>
      <c r="L142" s="48" t="s">
        <v>14</v>
      </c>
      <c r="M142" s="38">
        <v>42704</v>
      </c>
      <c r="N142" s="48"/>
      <c r="O142" s="35">
        <v>86230</v>
      </c>
      <c r="P142" s="35"/>
      <c r="Q142" s="35"/>
      <c r="R142" s="35"/>
      <c r="S142" s="58"/>
      <c r="T142" s="58"/>
    </row>
    <row r="143" spans="1:20" s="15" customFormat="1" ht="26.25" customHeight="1" x14ac:dyDescent="0.2">
      <c r="A143" s="43" t="s">
        <v>459</v>
      </c>
      <c r="B143" s="46" t="s">
        <v>19</v>
      </c>
      <c r="C143" s="44" t="s">
        <v>34</v>
      </c>
      <c r="D143" s="47">
        <v>13615</v>
      </c>
      <c r="E143" s="46" t="s">
        <v>486</v>
      </c>
      <c r="F143" s="35">
        <v>6485</v>
      </c>
      <c r="G143" s="35">
        <v>6485</v>
      </c>
      <c r="H143" s="35">
        <v>0</v>
      </c>
      <c r="I143" s="35">
        <f t="shared" ref="I143:I157" si="13">G143+H143</f>
        <v>6485</v>
      </c>
      <c r="J143" s="36">
        <f t="shared" ref="J143:J157" si="14">IF(G143=0,100%,(I143-G143)/G143)</f>
        <v>0</v>
      </c>
      <c r="K143" s="48" t="s">
        <v>14</v>
      </c>
      <c r="L143" s="48" t="s">
        <v>14</v>
      </c>
      <c r="M143" s="38">
        <v>42916</v>
      </c>
      <c r="N143" s="48"/>
      <c r="O143" s="35">
        <v>6485</v>
      </c>
      <c r="P143" s="35"/>
      <c r="Q143" s="35"/>
      <c r="R143" s="35"/>
      <c r="S143" s="58"/>
      <c r="T143" s="58"/>
    </row>
    <row r="144" spans="1:20" s="15" customFormat="1" ht="26.25" customHeight="1" x14ac:dyDescent="0.2">
      <c r="A144" s="43" t="s">
        <v>460</v>
      </c>
      <c r="B144" s="46" t="s">
        <v>19</v>
      </c>
      <c r="C144" s="44" t="s">
        <v>475</v>
      </c>
      <c r="D144" s="47">
        <v>13614</v>
      </c>
      <c r="E144" s="46" t="s">
        <v>487</v>
      </c>
      <c r="F144" s="35">
        <v>15000</v>
      </c>
      <c r="G144" s="35">
        <v>15000</v>
      </c>
      <c r="H144" s="35">
        <v>0</v>
      </c>
      <c r="I144" s="35">
        <f t="shared" si="13"/>
        <v>15000</v>
      </c>
      <c r="J144" s="36">
        <f t="shared" si="14"/>
        <v>0</v>
      </c>
      <c r="K144" s="48" t="s">
        <v>14</v>
      </c>
      <c r="L144" s="48" t="s">
        <v>14</v>
      </c>
      <c r="M144" s="38">
        <v>42916</v>
      </c>
      <c r="N144" s="48"/>
      <c r="O144" s="35">
        <v>15000</v>
      </c>
      <c r="P144" s="35"/>
      <c r="Q144" s="35"/>
      <c r="R144" s="35"/>
      <c r="S144" s="58"/>
      <c r="T144" s="58"/>
    </row>
    <row r="145" spans="1:20" s="15" customFormat="1" ht="26.25" customHeight="1" x14ac:dyDescent="0.2">
      <c r="A145" s="43" t="s">
        <v>461</v>
      </c>
      <c r="B145" s="46" t="s">
        <v>69</v>
      </c>
      <c r="C145" s="44" t="s">
        <v>476</v>
      </c>
      <c r="D145" s="47">
        <v>13606</v>
      </c>
      <c r="E145" s="46" t="s">
        <v>488</v>
      </c>
      <c r="F145" s="35">
        <v>20940</v>
      </c>
      <c r="G145" s="35">
        <v>40000</v>
      </c>
      <c r="H145" s="35">
        <v>20940</v>
      </c>
      <c r="I145" s="35">
        <f t="shared" si="13"/>
        <v>60940</v>
      </c>
      <c r="J145" s="36">
        <f t="shared" si="14"/>
        <v>0.52349999999999997</v>
      </c>
      <c r="K145" s="48" t="s">
        <v>14</v>
      </c>
      <c r="L145" s="48" t="s">
        <v>14</v>
      </c>
      <c r="M145" s="38">
        <v>42886</v>
      </c>
      <c r="N145" s="48" t="s">
        <v>28</v>
      </c>
      <c r="O145" s="35">
        <v>20940</v>
      </c>
      <c r="P145" s="35"/>
      <c r="Q145" s="35"/>
      <c r="R145" s="35"/>
      <c r="S145" s="58"/>
      <c r="T145" s="58"/>
    </row>
    <row r="146" spans="1:20" s="15" customFormat="1" ht="26.25" customHeight="1" x14ac:dyDescent="0.2">
      <c r="A146" s="43" t="s">
        <v>462</v>
      </c>
      <c r="B146" s="46" t="s">
        <v>19</v>
      </c>
      <c r="C146" s="44" t="s">
        <v>477</v>
      </c>
      <c r="D146" s="47">
        <v>13570</v>
      </c>
      <c r="E146" s="46" t="s">
        <v>489</v>
      </c>
      <c r="F146" s="35">
        <v>6621</v>
      </c>
      <c r="G146" s="35">
        <v>6621</v>
      </c>
      <c r="H146" s="35">
        <v>0</v>
      </c>
      <c r="I146" s="35">
        <f t="shared" si="13"/>
        <v>6621</v>
      </c>
      <c r="J146" s="36">
        <f t="shared" si="14"/>
        <v>0</v>
      </c>
      <c r="K146" s="48" t="s">
        <v>14</v>
      </c>
      <c r="L146" s="48" t="s">
        <v>14</v>
      </c>
      <c r="M146" s="38">
        <v>42916</v>
      </c>
      <c r="N146" s="48"/>
      <c r="O146" s="35">
        <v>6621</v>
      </c>
      <c r="P146" s="35"/>
      <c r="Q146" s="35"/>
      <c r="R146" s="35"/>
      <c r="S146" s="58"/>
      <c r="T146" s="58"/>
    </row>
    <row r="147" spans="1:20" s="15" customFormat="1" ht="26.25" customHeight="1" x14ac:dyDescent="0.2">
      <c r="A147" s="43" t="s">
        <v>463</v>
      </c>
      <c r="B147" s="46" t="s">
        <v>62</v>
      </c>
      <c r="C147" s="44" t="s">
        <v>478</v>
      </c>
      <c r="D147" s="47">
        <v>13560</v>
      </c>
      <c r="E147" s="46" t="s">
        <v>490</v>
      </c>
      <c r="F147" s="35">
        <v>12500</v>
      </c>
      <c r="G147" s="35">
        <v>12500</v>
      </c>
      <c r="H147" s="35">
        <v>0</v>
      </c>
      <c r="I147" s="35">
        <f t="shared" si="13"/>
        <v>12500</v>
      </c>
      <c r="J147" s="36">
        <f t="shared" si="14"/>
        <v>0</v>
      </c>
      <c r="K147" s="48" t="s">
        <v>14</v>
      </c>
      <c r="L147" s="48" t="s">
        <v>15</v>
      </c>
      <c r="M147" s="38">
        <v>42916</v>
      </c>
      <c r="N147" s="48"/>
      <c r="O147" s="35">
        <v>12500</v>
      </c>
      <c r="P147" s="35"/>
      <c r="Q147" s="35"/>
      <c r="R147" s="35"/>
      <c r="S147" s="58"/>
      <c r="T147" s="58"/>
    </row>
    <row r="148" spans="1:20" s="15" customFormat="1" ht="26.25" customHeight="1" x14ac:dyDescent="0.2">
      <c r="A148" s="43" t="s">
        <v>464</v>
      </c>
      <c r="B148" s="46" t="s">
        <v>19</v>
      </c>
      <c r="C148" s="44" t="s">
        <v>46</v>
      </c>
      <c r="D148" s="47">
        <v>13557</v>
      </c>
      <c r="E148" s="46" t="s">
        <v>457</v>
      </c>
      <c r="F148" s="35">
        <v>28350</v>
      </c>
      <c r="G148" s="35">
        <v>28350</v>
      </c>
      <c r="H148" s="35">
        <v>0</v>
      </c>
      <c r="I148" s="35">
        <f t="shared" si="13"/>
        <v>28350</v>
      </c>
      <c r="J148" s="36">
        <f t="shared" si="14"/>
        <v>0</v>
      </c>
      <c r="K148" s="48" t="s">
        <v>14</v>
      </c>
      <c r="L148" s="48" t="s">
        <v>14</v>
      </c>
      <c r="M148" s="38">
        <v>42704</v>
      </c>
      <c r="N148" s="48"/>
      <c r="O148" s="35">
        <v>28350</v>
      </c>
      <c r="P148" s="35"/>
      <c r="Q148" s="35"/>
      <c r="R148" s="35"/>
      <c r="S148" s="58"/>
      <c r="T148" s="58"/>
    </row>
    <row r="149" spans="1:20" s="15" customFormat="1" ht="26.25" customHeight="1" x14ac:dyDescent="0.2">
      <c r="A149" s="43" t="s">
        <v>465</v>
      </c>
      <c r="B149" s="46" t="s">
        <v>92</v>
      </c>
      <c r="C149" s="44" t="s">
        <v>126</v>
      </c>
      <c r="D149" s="47">
        <v>13553</v>
      </c>
      <c r="E149" s="46" t="s">
        <v>491</v>
      </c>
      <c r="F149" s="35">
        <v>9958</v>
      </c>
      <c r="G149" s="35">
        <v>9958</v>
      </c>
      <c r="H149" s="35">
        <v>0</v>
      </c>
      <c r="I149" s="35">
        <f t="shared" si="13"/>
        <v>9958</v>
      </c>
      <c r="J149" s="36">
        <f t="shared" si="14"/>
        <v>0</v>
      </c>
      <c r="K149" s="48" t="s">
        <v>14</v>
      </c>
      <c r="L149" s="48" t="s">
        <v>14</v>
      </c>
      <c r="M149" s="38">
        <v>42916</v>
      </c>
      <c r="N149" s="48"/>
      <c r="O149" s="35">
        <v>9958</v>
      </c>
      <c r="P149" s="35"/>
      <c r="Q149" s="35"/>
      <c r="R149" s="35"/>
      <c r="S149" s="58"/>
      <c r="T149" s="58"/>
    </row>
    <row r="150" spans="1:20" s="15" customFormat="1" ht="26.25" customHeight="1" x14ac:dyDescent="0.2">
      <c r="A150" s="43" t="s">
        <v>466</v>
      </c>
      <c r="B150" s="46" t="s">
        <v>92</v>
      </c>
      <c r="C150" s="44" t="s">
        <v>479</v>
      </c>
      <c r="D150" s="47">
        <v>13552</v>
      </c>
      <c r="E150" s="46" t="s">
        <v>492</v>
      </c>
      <c r="F150" s="35">
        <v>7230</v>
      </c>
      <c r="G150" s="35">
        <v>7230</v>
      </c>
      <c r="H150" s="35">
        <v>0</v>
      </c>
      <c r="I150" s="35">
        <f t="shared" si="13"/>
        <v>7230</v>
      </c>
      <c r="J150" s="36">
        <f t="shared" si="14"/>
        <v>0</v>
      </c>
      <c r="K150" s="48" t="s">
        <v>14</v>
      </c>
      <c r="L150" s="48" t="s">
        <v>14</v>
      </c>
      <c r="M150" s="38">
        <v>42916</v>
      </c>
      <c r="N150" s="48"/>
      <c r="O150" s="35">
        <v>7230</v>
      </c>
      <c r="P150" s="35"/>
      <c r="Q150" s="35"/>
      <c r="R150" s="35"/>
      <c r="S150" s="58"/>
      <c r="T150" s="58"/>
    </row>
    <row r="151" spans="1:20" s="15" customFormat="1" ht="26.25" customHeight="1" x14ac:dyDescent="0.2">
      <c r="A151" s="43" t="s">
        <v>467</v>
      </c>
      <c r="B151" s="46" t="s">
        <v>92</v>
      </c>
      <c r="C151" s="44" t="s">
        <v>43</v>
      </c>
      <c r="D151" s="47">
        <v>13538</v>
      </c>
      <c r="E151" s="46" t="s">
        <v>493</v>
      </c>
      <c r="F151" s="35">
        <v>6713</v>
      </c>
      <c r="G151" s="35">
        <v>6713</v>
      </c>
      <c r="H151" s="35">
        <v>0</v>
      </c>
      <c r="I151" s="35">
        <f t="shared" si="13"/>
        <v>6713</v>
      </c>
      <c r="J151" s="36">
        <f t="shared" si="14"/>
        <v>0</v>
      </c>
      <c r="K151" s="48" t="s">
        <v>14</v>
      </c>
      <c r="L151" s="48" t="s">
        <v>15</v>
      </c>
      <c r="M151" s="38">
        <v>42916</v>
      </c>
      <c r="N151" s="48"/>
      <c r="O151" s="35">
        <v>6713</v>
      </c>
      <c r="P151" s="35"/>
      <c r="Q151" s="35"/>
      <c r="R151" s="35"/>
      <c r="S151" s="58"/>
      <c r="T151" s="58"/>
    </row>
    <row r="152" spans="1:20" s="15" customFormat="1" ht="26.25" customHeight="1" x14ac:dyDescent="0.2">
      <c r="A152" s="43" t="s">
        <v>468</v>
      </c>
      <c r="B152" s="46" t="s">
        <v>474</v>
      </c>
      <c r="C152" s="44" t="s">
        <v>480</v>
      </c>
      <c r="D152" s="47">
        <v>13521</v>
      </c>
      <c r="E152" s="46" t="s">
        <v>494</v>
      </c>
      <c r="F152" s="35">
        <v>49900</v>
      </c>
      <c r="G152" s="35">
        <v>49900</v>
      </c>
      <c r="H152" s="35">
        <v>0</v>
      </c>
      <c r="I152" s="35">
        <f t="shared" si="13"/>
        <v>49900</v>
      </c>
      <c r="J152" s="36">
        <f t="shared" si="14"/>
        <v>0</v>
      </c>
      <c r="K152" s="48" t="s">
        <v>14</v>
      </c>
      <c r="L152" s="48" t="s">
        <v>15</v>
      </c>
      <c r="M152" s="38">
        <v>43069</v>
      </c>
      <c r="N152" s="48"/>
      <c r="O152" s="35">
        <v>49900</v>
      </c>
      <c r="P152" s="35"/>
      <c r="Q152" s="35"/>
      <c r="R152" s="35"/>
      <c r="S152" s="58"/>
      <c r="T152" s="58"/>
    </row>
    <row r="153" spans="1:20" s="15" customFormat="1" ht="26.25" customHeight="1" x14ac:dyDescent="0.2">
      <c r="A153" s="43" t="s">
        <v>469</v>
      </c>
      <c r="B153" s="46" t="s">
        <v>21</v>
      </c>
      <c r="C153" s="44" t="s">
        <v>481</v>
      </c>
      <c r="D153" s="47">
        <v>13517</v>
      </c>
      <c r="E153" s="46" t="s">
        <v>495</v>
      </c>
      <c r="F153" s="35">
        <v>6000</v>
      </c>
      <c r="G153" s="35">
        <v>6000</v>
      </c>
      <c r="H153" s="35">
        <v>0</v>
      </c>
      <c r="I153" s="35">
        <f t="shared" si="13"/>
        <v>6000</v>
      </c>
      <c r="J153" s="36">
        <f t="shared" si="14"/>
        <v>0</v>
      </c>
      <c r="K153" s="48" t="s">
        <v>14</v>
      </c>
      <c r="L153" s="48" t="s">
        <v>14</v>
      </c>
      <c r="M153" s="38">
        <v>42916</v>
      </c>
      <c r="N153" s="48"/>
      <c r="O153" s="35">
        <v>6000</v>
      </c>
      <c r="P153" s="35"/>
      <c r="Q153" s="35"/>
      <c r="R153" s="35"/>
      <c r="S153" s="58"/>
      <c r="T153" s="58"/>
    </row>
    <row r="154" spans="1:20" s="15" customFormat="1" ht="26.25" customHeight="1" x14ac:dyDescent="0.2">
      <c r="A154" s="43" t="s">
        <v>470</v>
      </c>
      <c r="B154" s="46" t="s">
        <v>26</v>
      </c>
      <c r="C154" s="44" t="s">
        <v>482</v>
      </c>
      <c r="D154" s="47">
        <v>13494</v>
      </c>
      <c r="E154" s="46" t="s">
        <v>496</v>
      </c>
      <c r="F154" s="35">
        <v>30000</v>
      </c>
      <c r="G154" s="35">
        <v>30000</v>
      </c>
      <c r="H154" s="35">
        <v>0</v>
      </c>
      <c r="I154" s="35">
        <f t="shared" si="13"/>
        <v>30000</v>
      </c>
      <c r="J154" s="36">
        <f t="shared" si="14"/>
        <v>0</v>
      </c>
      <c r="K154" s="48" t="s">
        <v>14</v>
      </c>
      <c r="L154" s="48" t="s">
        <v>14</v>
      </c>
      <c r="M154" s="38">
        <v>42916</v>
      </c>
      <c r="N154" s="48"/>
      <c r="O154" s="35">
        <v>30000</v>
      </c>
      <c r="P154" s="35"/>
      <c r="Q154" s="35"/>
      <c r="R154" s="35"/>
      <c r="S154" s="58"/>
      <c r="T154" s="58"/>
    </row>
    <row r="155" spans="1:20" s="15" customFormat="1" ht="26.25" customHeight="1" x14ac:dyDescent="0.2">
      <c r="A155" s="43" t="s">
        <v>471</v>
      </c>
      <c r="B155" s="46" t="s">
        <v>30</v>
      </c>
      <c r="C155" s="44" t="s">
        <v>483</v>
      </c>
      <c r="D155" s="47">
        <v>13488</v>
      </c>
      <c r="E155" s="46" t="s">
        <v>497</v>
      </c>
      <c r="F155" s="35">
        <v>13100</v>
      </c>
      <c r="G155" s="35">
        <v>13100</v>
      </c>
      <c r="H155" s="35">
        <v>0</v>
      </c>
      <c r="I155" s="35">
        <f t="shared" si="13"/>
        <v>13100</v>
      </c>
      <c r="J155" s="36">
        <f t="shared" si="14"/>
        <v>0</v>
      </c>
      <c r="K155" s="48" t="s">
        <v>14</v>
      </c>
      <c r="L155" s="48" t="s">
        <v>14</v>
      </c>
      <c r="M155" s="38">
        <v>43392</v>
      </c>
      <c r="N155" s="48"/>
      <c r="O155" s="49">
        <v>13100</v>
      </c>
      <c r="P155" s="35"/>
      <c r="Q155" s="35"/>
      <c r="R155" s="35"/>
      <c r="S155" s="58"/>
      <c r="T155" s="58"/>
    </row>
    <row r="156" spans="1:20" s="15" customFormat="1" ht="26.25" customHeight="1" x14ac:dyDescent="0.2">
      <c r="A156" s="43" t="s">
        <v>472</v>
      </c>
      <c r="B156" s="46" t="s">
        <v>21</v>
      </c>
      <c r="C156" s="44" t="s">
        <v>484</v>
      </c>
      <c r="D156" s="47">
        <v>12548</v>
      </c>
      <c r="E156" s="46" t="s">
        <v>498</v>
      </c>
      <c r="F156" s="35">
        <v>28300</v>
      </c>
      <c r="G156" s="35">
        <v>28300</v>
      </c>
      <c r="H156" s="35">
        <v>0</v>
      </c>
      <c r="I156" s="35">
        <f t="shared" si="13"/>
        <v>28300</v>
      </c>
      <c r="J156" s="36">
        <f t="shared" si="14"/>
        <v>0</v>
      </c>
      <c r="K156" s="48" t="s">
        <v>15</v>
      </c>
      <c r="L156" s="48" t="s">
        <v>14</v>
      </c>
      <c r="M156" s="38">
        <v>42861</v>
      </c>
      <c r="N156" s="48"/>
      <c r="O156" s="35">
        <v>28300</v>
      </c>
      <c r="P156" s="35"/>
      <c r="Q156" s="35"/>
      <c r="R156" s="35"/>
      <c r="S156" s="58"/>
      <c r="T156" s="58"/>
    </row>
    <row r="157" spans="1:20" s="15" customFormat="1" ht="26.25" customHeight="1" x14ac:dyDescent="0.2">
      <c r="A157" s="43" t="s">
        <v>473</v>
      </c>
      <c r="B157" s="46" t="s">
        <v>214</v>
      </c>
      <c r="C157" s="44" t="s">
        <v>485</v>
      </c>
      <c r="D157" s="47">
        <v>13619</v>
      </c>
      <c r="E157" s="46" t="s">
        <v>499</v>
      </c>
      <c r="F157" s="35">
        <f>21840*3</f>
        <v>65520</v>
      </c>
      <c r="G157" s="35">
        <f>21840*3</f>
        <v>65520</v>
      </c>
      <c r="H157" s="35">
        <v>0</v>
      </c>
      <c r="I157" s="35">
        <f t="shared" si="13"/>
        <v>65520</v>
      </c>
      <c r="J157" s="36">
        <f t="shared" si="14"/>
        <v>0</v>
      </c>
      <c r="K157" s="48" t="s">
        <v>15</v>
      </c>
      <c r="L157" s="48" t="s">
        <v>15</v>
      </c>
      <c r="M157" s="38">
        <v>43070</v>
      </c>
      <c r="N157" s="48" t="s">
        <v>18</v>
      </c>
      <c r="O157" s="35">
        <v>21840</v>
      </c>
      <c r="P157" s="35">
        <v>21840</v>
      </c>
      <c r="Q157" s="35">
        <v>21840</v>
      </c>
      <c r="R157" s="35"/>
      <c r="S157" s="58"/>
      <c r="T157" s="58"/>
    </row>
    <row r="158" spans="1:20" s="15" customFormat="1" ht="26.25" customHeight="1" x14ac:dyDescent="0.2">
      <c r="A158" s="43" t="s">
        <v>500</v>
      </c>
      <c r="B158" s="46" t="s">
        <v>69</v>
      </c>
      <c r="C158" s="44" t="s">
        <v>507</v>
      </c>
      <c r="D158" s="47">
        <v>13665</v>
      </c>
      <c r="E158" s="46" t="s">
        <v>514</v>
      </c>
      <c r="F158" s="35">
        <f>98400+99000+99000</f>
        <v>296400</v>
      </c>
      <c r="G158" s="35">
        <f>98400+99000+99000</f>
        <v>296400</v>
      </c>
      <c r="H158" s="35">
        <v>0</v>
      </c>
      <c r="I158" s="35">
        <f t="shared" ref="I158:I165" si="15">G158+H158</f>
        <v>296400</v>
      </c>
      <c r="J158" s="36">
        <f t="shared" ref="J158:J165" si="16">IF(G158=0,100%,(I158-G158)/G158)</f>
        <v>0</v>
      </c>
      <c r="K158" s="48" t="s">
        <v>14</v>
      </c>
      <c r="L158" s="48" t="s">
        <v>14</v>
      </c>
      <c r="M158" s="38">
        <v>43037</v>
      </c>
      <c r="N158" s="48" t="s">
        <v>18</v>
      </c>
      <c r="O158" s="35">
        <v>98400</v>
      </c>
      <c r="P158" s="35">
        <v>99000</v>
      </c>
      <c r="Q158" s="35">
        <v>99000</v>
      </c>
      <c r="R158" s="35"/>
      <c r="S158" s="58"/>
      <c r="T158" s="58"/>
    </row>
    <row r="159" spans="1:20" s="15" customFormat="1" ht="26.25" customHeight="1" x14ac:dyDescent="0.2">
      <c r="A159" s="43" t="s">
        <v>501</v>
      </c>
      <c r="B159" s="46" t="s">
        <v>17</v>
      </c>
      <c r="C159" s="44" t="s">
        <v>508</v>
      </c>
      <c r="D159" s="47">
        <v>13643</v>
      </c>
      <c r="E159" s="46" t="s">
        <v>515</v>
      </c>
      <c r="F159" s="35">
        <f>62525*3</f>
        <v>187575</v>
      </c>
      <c r="G159" s="35">
        <f>62525*3</f>
        <v>187575</v>
      </c>
      <c r="H159" s="35">
        <v>0</v>
      </c>
      <c r="I159" s="35">
        <f t="shared" si="15"/>
        <v>187575</v>
      </c>
      <c r="J159" s="36">
        <f t="shared" si="16"/>
        <v>0</v>
      </c>
      <c r="K159" s="48" t="s">
        <v>14</v>
      </c>
      <c r="L159" s="48" t="s">
        <v>14</v>
      </c>
      <c r="M159" s="38">
        <v>42916</v>
      </c>
      <c r="N159" s="48" t="s">
        <v>18</v>
      </c>
      <c r="O159" s="35">
        <v>62525</v>
      </c>
      <c r="P159" s="35">
        <v>62525</v>
      </c>
      <c r="Q159" s="35">
        <v>62525</v>
      </c>
      <c r="R159" s="35"/>
      <c r="S159" s="58"/>
      <c r="T159" s="58"/>
    </row>
    <row r="160" spans="1:20" s="15" customFormat="1" ht="26.25" customHeight="1" x14ac:dyDescent="0.2">
      <c r="A160" s="43" t="s">
        <v>502</v>
      </c>
      <c r="B160" s="46" t="s">
        <v>30</v>
      </c>
      <c r="C160" s="44" t="s">
        <v>509</v>
      </c>
      <c r="D160" s="47">
        <v>13626</v>
      </c>
      <c r="E160" s="46" t="s">
        <v>516</v>
      </c>
      <c r="F160" s="35">
        <v>45900</v>
      </c>
      <c r="G160" s="35">
        <v>25500</v>
      </c>
      <c r="H160" s="35">
        <v>45900</v>
      </c>
      <c r="I160" s="35">
        <f t="shared" si="15"/>
        <v>71400</v>
      </c>
      <c r="J160" s="36">
        <f t="shared" si="16"/>
        <v>1.8</v>
      </c>
      <c r="K160" s="48" t="s">
        <v>14</v>
      </c>
      <c r="L160" s="48" t="s">
        <v>14</v>
      </c>
      <c r="M160" s="38">
        <v>42906</v>
      </c>
      <c r="N160" s="48" t="s">
        <v>28</v>
      </c>
      <c r="O160" s="35">
        <v>45900</v>
      </c>
      <c r="P160" s="35"/>
      <c r="Q160" s="35"/>
      <c r="R160" s="35"/>
      <c r="S160" s="58"/>
      <c r="T160" s="58"/>
    </row>
    <row r="161" spans="1:20" s="15" customFormat="1" ht="26.25" customHeight="1" x14ac:dyDescent="0.2">
      <c r="A161" s="43" t="s">
        <v>503</v>
      </c>
      <c r="B161" s="46" t="s">
        <v>69</v>
      </c>
      <c r="C161" s="44" t="s">
        <v>510</v>
      </c>
      <c r="D161" s="47">
        <v>13581</v>
      </c>
      <c r="E161" s="46" t="s">
        <v>518</v>
      </c>
      <c r="F161" s="35">
        <v>54000</v>
      </c>
      <c r="G161" s="35">
        <v>45000</v>
      </c>
      <c r="H161" s="35">
        <v>54000</v>
      </c>
      <c r="I161" s="35">
        <f t="shared" si="15"/>
        <v>99000</v>
      </c>
      <c r="J161" s="36">
        <f t="shared" si="16"/>
        <v>1.2</v>
      </c>
      <c r="K161" s="48" t="s">
        <v>14</v>
      </c>
      <c r="L161" s="48" t="s">
        <v>14</v>
      </c>
      <c r="M161" s="38">
        <v>42916</v>
      </c>
      <c r="N161" s="48" t="s">
        <v>28</v>
      </c>
      <c r="O161" s="35">
        <v>54000</v>
      </c>
      <c r="P161" s="35"/>
      <c r="Q161" s="35"/>
      <c r="R161" s="35"/>
      <c r="S161" s="58"/>
      <c r="T161" s="58"/>
    </row>
    <row r="162" spans="1:20" s="15" customFormat="1" ht="26.25" customHeight="1" x14ac:dyDescent="0.2">
      <c r="A162" s="43" t="s">
        <v>504</v>
      </c>
      <c r="B162" s="46" t="s">
        <v>21</v>
      </c>
      <c r="C162" s="44" t="s">
        <v>511</v>
      </c>
      <c r="D162" s="47">
        <v>13574</v>
      </c>
      <c r="E162" s="46" t="s">
        <v>517</v>
      </c>
      <c r="F162" s="35">
        <f>99000*3</f>
        <v>297000</v>
      </c>
      <c r="G162" s="35">
        <f>99000*3</f>
        <v>297000</v>
      </c>
      <c r="H162" s="35">
        <v>0</v>
      </c>
      <c r="I162" s="35">
        <f t="shared" si="15"/>
        <v>297000</v>
      </c>
      <c r="J162" s="36">
        <f t="shared" si="16"/>
        <v>0</v>
      </c>
      <c r="K162" s="48" t="s">
        <v>14</v>
      </c>
      <c r="L162" s="48" t="s">
        <v>14</v>
      </c>
      <c r="M162" s="38">
        <v>42916</v>
      </c>
      <c r="N162" s="48" t="s">
        <v>18</v>
      </c>
      <c r="O162" s="35">
        <v>99000</v>
      </c>
      <c r="P162" s="35">
        <v>99000</v>
      </c>
      <c r="Q162" s="35">
        <v>99000</v>
      </c>
      <c r="R162" s="35"/>
      <c r="S162" s="58"/>
      <c r="T162" s="58"/>
    </row>
    <row r="163" spans="1:20" s="15" customFormat="1" ht="26.25" customHeight="1" x14ac:dyDescent="0.2">
      <c r="A163" s="43" t="s">
        <v>505</v>
      </c>
      <c r="B163" s="46" t="s">
        <v>21</v>
      </c>
      <c r="C163" s="44" t="s">
        <v>512</v>
      </c>
      <c r="D163" s="47">
        <v>13536</v>
      </c>
      <c r="E163" s="46" t="s">
        <v>519</v>
      </c>
      <c r="F163" s="35">
        <f>95000*3</f>
        <v>285000</v>
      </c>
      <c r="G163" s="35">
        <f>95000*3</f>
        <v>285000</v>
      </c>
      <c r="H163" s="35">
        <v>0</v>
      </c>
      <c r="I163" s="35">
        <f t="shared" si="15"/>
        <v>285000</v>
      </c>
      <c r="J163" s="36">
        <f t="shared" si="16"/>
        <v>0</v>
      </c>
      <c r="K163" s="48" t="s">
        <v>14</v>
      </c>
      <c r="L163" s="48" t="s">
        <v>14</v>
      </c>
      <c r="M163" s="38">
        <v>42916</v>
      </c>
      <c r="N163" s="48" t="s">
        <v>18</v>
      </c>
      <c r="O163" s="35">
        <v>95000</v>
      </c>
      <c r="P163" s="35">
        <v>95000</v>
      </c>
      <c r="Q163" s="35">
        <v>95000</v>
      </c>
      <c r="R163" s="35"/>
      <c r="S163" s="58"/>
      <c r="T163" s="58"/>
    </row>
    <row r="164" spans="1:20" s="15" customFormat="1" ht="26.25" customHeight="1" x14ac:dyDescent="0.2">
      <c r="A164" s="43" t="s">
        <v>506</v>
      </c>
      <c r="B164" s="46" t="s">
        <v>21</v>
      </c>
      <c r="C164" s="44" t="s">
        <v>513</v>
      </c>
      <c r="D164" s="47">
        <v>13535</v>
      </c>
      <c r="E164" s="46" t="s">
        <v>519</v>
      </c>
      <c r="F164" s="35">
        <f>95000*3</f>
        <v>285000</v>
      </c>
      <c r="G164" s="35">
        <f>95000*3</f>
        <v>285000</v>
      </c>
      <c r="H164" s="35">
        <v>0</v>
      </c>
      <c r="I164" s="35">
        <f t="shared" si="15"/>
        <v>285000</v>
      </c>
      <c r="J164" s="36">
        <f t="shared" si="16"/>
        <v>0</v>
      </c>
      <c r="K164" s="48" t="s">
        <v>14</v>
      </c>
      <c r="L164" s="48" t="s">
        <v>14</v>
      </c>
      <c r="M164" s="38">
        <v>42916</v>
      </c>
      <c r="N164" s="48" t="s">
        <v>18</v>
      </c>
      <c r="O164" s="35">
        <v>95000</v>
      </c>
      <c r="P164" s="35">
        <v>95000</v>
      </c>
      <c r="Q164" s="35">
        <v>95000</v>
      </c>
      <c r="R164" s="35"/>
      <c r="S164" s="58"/>
      <c r="T164" s="58"/>
    </row>
    <row r="165" spans="1:20" s="15" customFormat="1" ht="26.25" customHeight="1" x14ac:dyDescent="0.2">
      <c r="A165" s="43" t="s">
        <v>520</v>
      </c>
      <c r="B165" s="46" t="s">
        <v>36</v>
      </c>
      <c r="C165" s="44" t="s">
        <v>528</v>
      </c>
      <c r="D165" s="54" t="s">
        <v>535</v>
      </c>
      <c r="E165" s="46" t="s">
        <v>542</v>
      </c>
      <c r="F165" s="35">
        <f>8138*3</f>
        <v>24414</v>
      </c>
      <c r="G165" s="35">
        <f>8138*3</f>
        <v>24414</v>
      </c>
      <c r="H165" s="35">
        <v>0</v>
      </c>
      <c r="I165" s="35">
        <f t="shared" si="15"/>
        <v>24414</v>
      </c>
      <c r="J165" s="36">
        <f t="shared" si="16"/>
        <v>0</v>
      </c>
      <c r="K165" s="48" t="s">
        <v>14</v>
      </c>
      <c r="L165" s="48" t="s">
        <v>14</v>
      </c>
      <c r="M165" s="38">
        <v>43055</v>
      </c>
      <c r="N165" s="48" t="s">
        <v>18</v>
      </c>
      <c r="O165" s="35">
        <v>8138</v>
      </c>
      <c r="P165" s="35">
        <v>8138</v>
      </c>
      <c r="Q165" s="35">
        <v>8138</v>
      </c>
      <c r="R165" s="35"/>
      <c r="S165" s="58"/>
      <c r="T165" s="58"/>
    </row>
    <row r="166" spans="1:20" s="15" customFormat="1" ht="18" customHeight="1" x14ac:dyDescent="0.2">
      <c r="A166" s="43" t="s">
        <v>521</v>
      </c>
      <c r="B166" s="46" t="s">
        <v>19</v>
      </c>
      <c r="C166" s="44" t="s">
        <v>529</v>
      </c>
      <c r="D166" s="47">
        <v>13658</v>
      </c>
      <c r="E166" s="46" t="s">
        <v>536</v>
      </c>
      <c r="F166" s="35">
        <v>10000</v>
      </c>
      <c r="G166" s="35">
        <v>10000</v>
      </c>
      <c r="H166" s="35">
        <v>0</v>
      </c>
      <c r="I166" s="35">
        <f t="shared" ref="I166:I172" si="17">G166+H166</f>
        <v>10000</v>
      </c>
      <c r="J166" s="36">
        <f t="shared" ref="J166:J172" si="18">IF(G166=0,100%,(I166-G166)/G166)</f>
        <v>0</v>
      </c>
      <c r="K166" s="48" t="s">
        <v>14</v>
      </c>
      <c r="L166" s="48" t="s">
        <v>14</v>
      </c>
      <c r="M166" s="38">
        <v>43039</v>
      </c>
      <c r="N166" s="48"/>
      <c r="O166" s="35">
        <v>10000</v>
      </c>
      <c r="P166" s="35"/>
      <c r="Q166" s="35"/>
      <c r="R166" s="35"/>
      <c r="S166" s="58"/>
      <c r="T166" s="58"/>
    </row>
    <row r="167" spans="1:20" s="15" customFormat="1" ht="26.25" customHeight="1" x14ac:dyDescent="0.2">
      <c r="A167" s="43" t="s">
        <v>522</v>
      </c>
      <c r="B167" s="46" t="s">
        <v>31</v>
      </c>
      <c r="C167" s="44" t="s">
        <v>530</v>
      </c>
      <c r="D167" s="47">
        <v>13638</v>
      </c>
      <c r="E167" s="46" t="s">
        <v>537</v>
      </c>
      <c r="F167" s="35">
        <v>7000</v>
      </c>
      <c r="G167" s="35">
        <v>7000</v>
      </c>
      <c r="H167" s="35">
        <v>0</v>
      </c>
      <c r="I167" s="35">
        <f t="shared" si="17"/>
        <v>7000</v>
      </c>
      <c r="J167" s="36">
        <f t="shared" si="18"/>
        <v>0</v>
      </c>
      <c r="K167" s="48" t="s">
        <v>14</v>
      </c>
      <c r="L167" s="48" t="s">
        <v>14</v>
      </c>
      <c r="M167" s="38">
        <v>42916</v>
      </c>
      <c r="N167" s="48"/>
      <c r="O167" s="35">
        <v>7000</v>
      </c>
      <c r="P167" s="35"/>
      <c r="Q167" s="35"/>
      <c r="R167" s="35"/>
      <c r="S167" s="58"/>
      <c r="T167" s="58"/>
    </row>
    <row r="168" spans="1:20" s="15" customFormat="1" ht="18" customHeight="1" x14ac:dyDescent="0.2">
      <c r="A168" s="43" t="s">
        <v>523</v>
      </c>
      <c r="B168" s="46" t="s">
        <v>92</v>
      </c>
      <c r="C168" s="44" t="s">
        <v>531</v>
      </c>
      <c r="D168" s="47">
        <v>13636</v>
      </c>
      <c r="E168" s="46" t="s">
        <v>538</v>
      </c>
      <c r="F168" s="35">
        <v>10000</v>
      </c>
      <c r="G168" s="35">
        <v>10000</v>
      </c>
      <c r="H168" s="35">
        <v>0</v>
      </c>
      <c r="I168" s="35">
        <f t="shared" si="17"/>
        <v>10000</v>
      </c>
      <c r="J168" s="36">
        <f t="shared" si="18"/>
        <v>0</v>
      </c>
      <c r="K168" s="48" t="s">
        <v>14</v>
      </c>
      <c r="L168" s="48" t="s">
        <v>14</v>
      </c>
      <c r="M168" s="38">
        <v>42916</v>
      </c>
      <c r="N168" s="48"/>
      <c r="O168" s="35">
        <v>10000</v>
      </c>
      <c r="P168" s="35"/>
      <c r="Q168" s="35"/>
      <c r="R168" s="35"/>
      <c r="S168" s="58"/>
      <c r="T168" s="58"/>
    </row>
    <row r="169" spans="1:20" s="15" customFormat="1" ht="26.25" customHeight="1" x14ac:dyDescent="0.2">
      <c r="A169" s="43" t="s">
        <v>524</v>
      </c>
      <c r="B169" s="46" t="s">
        <v>69</v>
      </c>
      <c r="C169" s="44" t="s">
        <v>532</v>
      </c>
      <c r="D169" s="47">
        <v>13635</v>
      </c>
      <c r="E169" s="46" t="s">
        <v>539</v>
      </c>
      <c r="F169" s="35">
        <f>21495*3</f>
        <v>64485</v>
      </c>
      <c r="G169" s="35">
        <f>21495*3</f>
        <v>64485</v>
      </c>
      <c r="H169" s="35">
        <v>0</v>
      </c>
      <c r="I169" s="35">
        <f t="shared" si="17"/>
        <v>64485</v>
      </c>
      <c r="J169" s="36">
        <f t="shared" si="18"/>
        <v>0</v>
      </c>
      <c r="K169" s="48" t="s">
        <v>14</v>
      </c>
      <c r="L169" s="48" t="s">
        <v>14</v>
      </c>
      <c r="M169" s="38">
        <v>42961</v>
      </c>
      <c r="N169" s="48" t="s">
        <v>18</v>
      </c>
      <c r="O169" s="35">
        <v>21495</v>
      </c>
      <c r="P169" s="35">
        <v>21495</v>
      </c>
      <c r="Q169" s="35">
        <v>21495</v>
      </c>
      <c r="R169" s="35"/>
      <c r="S169" s="58"/>
      <c r="T169" s="58"/>
    </row>
    <row r="170" spans="1:20" s="15" customFormat="1" ht="18" customHeight="1" x14ac:dyDescent="0.2">
      <c r="A170" s="43" t="s">
        <v>525</v>
      </c>
      <c r="B170" s="46" t="s">
        <v>21</v>
      </c>
      <c r="C170" s="44" t="s">
        <v>533</v>
      </c>
      <c r="D170" s="47">
        <v>13559</v>
      </c>
      <c r="E170" s="46" t="s">
        <v>540</v>
      </c>
      <c r="F170" s="35">
        <v>39672</v>
      </c>
      <c r="G170" s="35">
        <v>709650</v>
      </c>
      <c r="H170" s="35">
        <v>39672</v>
      </c>
      <c r="I170" s="35">
        <f t="shared" si="17"/>
        <v>749322</v>
      </c>
      <c r="J170" s="36">
        <f t="shared" si="18"/>
        <v>5.5903614457831326E-2</v>
      </c>
      <c r="K170" s="48" t="s">
        <v>14</v>
      </c>
      <c r="L170" s="48" t="s">
        <v>14</v>
      </c>
      <c r="M170" s="38">
        <v>42485</v>
      </c>
      <c r="N170" s="48" t="s">
        <v>28</v>
      </c>
      <c r="O170" s="35">
        <v>39672</v>
      </c>
      <c r="P170" s="35"/>
      <c r="Q170" s="35"/>
      <c r="R170" s="35"/>
      <c r="S170" s="58"/>
      <c r="T170" s="58"/>
    </row>
    <row r="171" spans="1:20" s="15" customFormat="1" ht="26.25" customHeight="1" x14ac:dyDescent="0.2">
      <c r="A171" s="43" t="s">
        <v>526</v>
      </c>
      <c r="B171" s="46" t="s">
        <v>19</v>
      </c>
      <c r="C171" s="44" t="s">
        <v>128</v>
      </c>
      <c r="D171" s="47">
        <v>13519</v>
      </c>
      <c r="E171" s="46" t="s">
        <v>457</v>
      </c>
      <c r="F171" s="35">
        <v>48039</v>
      </c>
      <c r="G171" s="35">
        <v>48039</v>
      </c>
      <c r="H171" s="35">
        <v>0</v>
      </c>
      <c r="I171" s="35">
        <f t="shared" si="17"/>
        <v>48039</v>
      </c>
      <c r="J171" s="36">
        <f t="shared" si="18"/>
        <v>0</v>
      </c>
      <c r="K171" s="48" t="s">
        <v>14</v>
      </c>
      <c r="L171" s="48" t="s">
        <v>14</v>
      </c>
      <c r="M171" s="38">
        <v>42704</v>
      </c>
      <c r="N171" s="48"/>
      <c r="O171" s="35">
        <v>48039</v>
      </c>
      <c r="P171" s="35"/>
      <c r="Q171" s="35"/>
      <c r="R171" s="35"/>
      <c r="S171" s="58"/>
      <c r="T171" s="58"/>
    </row>
    <row r="172" spans="1:20" s="15" customFormat="1" ht="26.25" customHeight="1" x14ac:dyDescent="0.2">
      <c r="A172" s="43" t="s">
        <v>527</v>
      </c>
      <c r="B172" s="46" t="s">
        <v>62</v>
      </c>
      <c r="C172" s="44" t="s">
        <v>534</v>
      </c>
      <c r="D172" s="47">
        <v>13346</v>
      </c>
      <c r="E172" s="46" t="s">
        <v>541</v>
      </c>
      <c r="F172" s="35">
        <v>24920</v>
      </c>
      <c r="G172" s="35">
        <v>24920</v>
      </c>
      <c r="H172" s="35">
        <v>0</v>
      </c>
      <c r="I172" s="35">
        <f t="shared" si="17"/>
        <v>24920</v>
      </c>
      <c r="J172" s="36">
        <f t="shared" si="18"/>
        <v>0</v>
      </c>
      <c r="K172" s="48" t="s">
        <v>14</v>
      </c>
      <c r="L172" s="48" t="s">
        <v>14</v>
      </c>
      <c r="M172" s="38">
        <v>42916</v>
      </c>
      <c r="N172" s="48"/>
      <c r="O172" s="35">
        <v>24920</v>
      </c>
      <c r="P172" s="35"/>
      <c r="Q172" s="35"/>
      <c r="R172" s="35"/>
      <c r="S172" s="58"/>
      <c r="T172" s="58"/>
    </row>
    <row r="173" spans="1:20" s="15" customFormat="1" ht="26.25" customHeight="1" x14ac:dyDescent="0.2">
      <c r="A173" s="43" t="s">
        <v>543</v>
      </c>
      <c r="B173" s="46" t="s">
        <v>214</v>
      </c>
      <c r="C173" s="44" t="s">
        <v>554</v>
      </c>
      <c r="D173" s="47">
        <v>13641</v>
      </c>
      <c r="E173" s="46" t="s">
        <v>563</v>
      </c>
      <c r="F173" s="35">
        <f>15000*3</f>
        <v>45000</v>
      </c>
      <c r="G173" s="35">
        <f>15000*3</f>
        <v>45000</v>
      </c>
      <c r="H173" s="35">
        <v>0</v>
      </c>
      <c r="I173" s="35">
        <f t="shared" ref="I173:I184" si="19">G173+H173</f>
        <v>45000</v>
      </c>
      <c r="J173" s="36">
        <f t="shared" ref="J173:J184" si="20">IF(G173=0,100%,(I173-G173)/G173)</f>
        <v>0</v>
      </c>
      <c r="K173" s="48" t="s">
        <v>14</v>
      </c>
      <c r="L173" s="48" t="s">
        <v>15</v>
      </c>
      <c r="M173" s="38">
        <v>43465</v>
      </c>
      <c r="N173" s="48" t="s">
        <v>18</v>
      </c>
      <c r="O173" s="35">
        <v>15000</v>
      </c>
      <c r="P173" s="35">
        <v>15000</v>
      </c>
      <c r="Q173" s="35">
        <v>15000</v>
      </c>
      <c r="R173" s="35"/>
      <c r="S173" s="58"/>
      <c r="T173" s="58"/>
    </row>
    <row r="174" spans="1:20" s="15" customFormat="1" ht="26.25" customHeight="1" x14ac:dyDescent="0.2">
      <c r="A174" s="43" t="s">
        <v>544</v>
      </c>
      <c r="B174" s="46" t="s">
        <v>92</v>
      </c>
      <c r="C174" s="44" t="s">
        <v>555</v>
      </c>
      <c r="D174" s="47">
        <v>13662</v>
      </c>
      <c r="E174" s="46" t="s">
        <v>564</v>
      </c>
      <c r="F174" s="35">
        <v>9800</v>
      </c>
      <c r="G174" s="35">
        <v>9800</v>
      </c>
      <c r="H174" s="35">
        <v>0</v>
      </c>
      <c r="I174" s="35">
        <f t="shared" si="19"/>
        <v>9800</v>
      </c>
      <c r="J174" s="36">
        <f t="shared" si="20"/>
        <v>0</v>
      </c>
      <c r="K174" s="48" t="s">
        <v>14</v>
      </c>
      <c r="L174" s="48" t="s">
        <v>14</v>
      </c>
      <c r="M174" s="38">
        <v>42916</v>
      </c>
      <c r="N174" s="48"/>
      <c r="O174" s="35">
        <v>9800</v>
      </c>
      <c r="P174" s="35"/>
      <c r="Q174" s="35"/>
      <c r="R174" s="35"/>
      <c r="S174" s="58"/>
      <c r="T174" s="58"/>
    </row>
    <row r="175" spans="1:20" s="15" customFormat="1" ht="26.25" customHeight="1" x14ac:dyDescent="0.2">
      <c r="A175" s="43" t="s">
        <v>545</v>
      </c>
      <c r="B175" s="46" t="s">
        <v>21</v>
      </c>
      <c r="C175" s="44" t="s">
        <v>556</v>
      </c>
      <c r="D175" s="47">
        <v>13678</v>
      </c>
      <c r="E175" s="46" t="s">
        <v>565</v>
      </c>
      <c r="F175" s="35">
        <f>25000*3</f>
        <v>75000</v>
      </c>
      <c r="G175" s="35">
        <f>25000*3</f>
        <v>75000</v>
      </c>
      <c r="H175" s="35">
        <v>0</v>
      </c>
      <c r="I175" s="35">
        <f t="shared" si="19"/>
        <v>75000</v>
      </c>
      <c r="J175" s="36">
        <f t="shared" si="20"/>
        <v>0</v>
      </c>
      <c r="K175" s="48" t="s">
        <v>14</v>
      </c>
      <c r="L175" s="48" t="s">
        <v>15</v>
      </c>
      <c r="M175" s="38">
        <v>42916</v>
      </c>
      <c r="N175" s="48" t="s">
        <v>18</v>
      </c>
      <c r="O175" s="35">
        <v>25000</v>
      </c>
      <c r="P175" s="35">
        <v>25000</v>
      </c>
      <c r="Q175" s="35">
        <v>25000</v>
      </c>
      <c r="R175" s="35"/>
      <c r="S175" s="58"/>
      <c r="T175" s="58"/>
    </row>
    <row r="176" spans="1:20" s="15" customFormat="1" ht="26.25" customHeight="1" x14ac:dyDescent="0.2">
      <c r="A176" s="43" t="s">
        <v>546</v>
      </c>
      <c r="B176" s="46" t="s">
        <v>21</v>
      </c>
      <c r="C176" s="44" t="s">
        <v>557</v>
      </c>
      <c r="D176" s="47">
        <v>13679</v>
      </c>
      <c r="E176" s="46" t="s">
        <v>566</v>
      </c>
      <c r="F176" s="35">
        <v>49000</v>
      </c>
      <c r="G176" s="35">
        <v>49000</v>
      </c>
      <c r="H176" s="35">
        <v>0</v>
      </c>
      <c r="I176" s="35">
        <f t="shared" si="19"/>
        <v>49000</v>
      </c>
      <c r="J176" s="36">
        <f t="shared" si="20"/>
        <v>0</v>
      </c>
      <c r="K176" s="48" t="s">
        <v>14</v>
      </c>
      <c r="L176" s="48" t="s">
        <v>15</v>
      </c>
      <c r="M176" s="38">
        <v>42916</v>
      </c>
      <c r="N176" s="48"/>
      <c r="O176" s="35">
        <v>49000</v>
      </c>
      <c r="P176" s="35"/>
      <c r="Q176" s="35"/>
      <c r="R176" s="35"/>
      <c r="S176" s="58"/>
      <c r="T176" s="58"/>
    </row>
    <row r="177" spans="1:20" s="15" customFormat="1" ht="26.25" customHeight="1" x14ac:dyDescent="0.2">
      <c r="A177" s="43" t="s">
        <v>547</v>
      </c>
      <c r="B177" s="46" t="s">
        <v>35</v>
      </c>
      <c r="C177" s="44" t="s">
        <v>558</v>
      </c>
      <c r="D177" s="47">
        <v>13680</v>
      </c>
      <c r="E177" s="46" t="s">
        <v>567</v>
      </c>
      <c r="F177" s="35">
        <f>30000*3</f>
        <v>90000</v>
      </c>
      <c r="G177" s="35">
        <f>30000*3</f>
        <v>90000</v>
      </c>
      <c r="H177" s="35">
        <v>0</v>
      </c>
      <c r="I177" s="35">
        <f t="shared" si="19"/>
        <v>90000</v>
      </c>
      <c r="J177" s="36">
        <f t="shared" si="20"/>
        <v>0</v>
      </c>
      <c r="K177" s="48" t="s">
        <v>14</v>
      </c>
      <c r="L177" s="48" t="s">
        <v>14</v>
      </c>
      <c r="M177" s="38">
        <v>42916</v>
      </c>
      <c r="N177" s="48" t="s">
        <v>18</v>
      </c>
      <c r="O177" s="35">
        <v>30000</v>
      </c>
      <c r="P177" s="35">
        <v>30000</v>
      </c>
      <c r="Q177" s="35">
        <v>30000</v>
      </c>
      <c r="R177" s="35"/>
      <c r="S177" s="58"/>
      <c r="T177" s="58"/>
    </row>
    <row r="178" spans="1:20" s="15" customFormat="1" ht="26.25" customHeight="1" x14ac:dyDescent="0.2">
      <c r="A178" s="43" t="s">
        <v>548</v>
      </c>
      <c r="B178" s="46" t="s">
        <v>214</v>
      </c>
      <c r="C178" s="44" t="s">
        <v>559</v>
      </c>
      <c r="D178" s="47">
        <v>13682</v>
      </c>
      <c r="E178" s="46" t="s">
        <v>568</v>
      </c>
      <c r="F178" s="35">
        <f>29000*3</f>
        <v>87000</v>
      </c>
      <c r="G178" s="35">
        <f>29000*3</f>
        <v>87000</v>
      </c>
      <c r="H178" s="35">
        <v>0</v>
      </c>
      <c r="I178" s="35">
        <f t="shared" si="19"/>
        <v>87000</v>
      </c>
      <c r="J178" s="36">
        <f t="shared" si="20"/>
        <v>0</v>
      </c>
      <c r="K178" s="48" t="s">
        <v>14</v>
      </c>
      <c r="L178" s="48" t="s">
        <v>15</v>
      </c>
      <c r="M178" s="38">
        <v>43465</v>
      </c>
      <c r="N178" s="48" t="s">
        <v>18</v>
      </c>
      <c r="O178" s="35">
        <v>29000</v>
      </c>
      <c r="P178" s="35">
        <v>29000</v>
      </c>
      <c r="Q178" s="35">
        <v>29000</v>
      </c>
      <c r="R178" s="35"/>
      <c r="S178" s="58"/>
      <c r="T178" s="58"/>
    </row>
    <row r="179" spans="1:20" s="15" customFormat="1" ht="26.25" customHeight="1" x14ac:dyDescent="0.2">
      <c r="A179" s="43" t="s">
        <v>549</v>
      </c>
      <c r="B179" s="46" t="s">
        <v>214</v>
      </c>
      <c r="C179" s="44" t="s">
        <v>560</v>
      </c>
      <c r="D179" s="47">
        <v>13684</v>
      </c>
      <c r="E179" s="46" t="s">
        <v>563</v>
      </c>
      <c r="F179" s="35">
        <f>15000*3</f>
        <v>45000</v>
      </c>
      <c r="G179" s="35">
        <f>15000*3</f>
        <v>45000</v>
      </c>
      <c r="H179" s="35">
        <v>0</v>
      </c>
      <c r="I179" s="35">
        <f t="shared" si="19"/>
        <v>45000</v>
      </c>
      <c r="J179" s="36">
        <f t="shared" si="20"/>
        <v>0</v>
      </c>
      <c r="K179" s="48" t="s">
        <v>14</v>
      </c>
      <c r="L179" s="48" t="s">
        <v>15</v>
      </c>
      <c r="M179" s="38">
        <v>43465</v>
      </c>
      <c r="N179" s="48" t="s">
        <v>18</v>
      </c>
      <c r="O179" s="35">
        <v>15000</v>
      </c>
      <c r="P179" s="35">
        <v>15000</v>
      </c>
      <c r="Q179" s="35">
        <v>15000</v>
      </c>
      <c r="R179" s="35"/>
      <c r="S179" s="58"/>
      <c r="T179" s="58"/>
    </row>
    <row r="180" spans="1:20" s="15" customFormat="1" ht="26.25" customHeight="1" x14ac:dyDescent="0.2">
      <c r="A180" s="43" t="s">
        <v>550</v>
      </c>
      <c r="B180" s="46" t="s">
        <v>214</v>
      </c>
      <c r="C180" s="44" t="s">
        <v>561</v>
      </c>
      <c r="D180" s="47">
        <v>13685</v>
      </c>
      <c r="E180" s="46" t="s">
        <v>563</v>
      </c>
      <c r="F180" s="35">
        <f>15000*3</f>
        <v>45000</v>
      </c>
      <c r="G180" s="35">
        <f>15000*3</f>
        <v>45000</v>
      </c>
      <c r="H180" s="35">
        <v>0</v>
      </c>
      <c r="I180" s="35">
        <f t="shared" si="19"/>
        <v>45000</v>
      </c>
      <c r="J180" s="36">
        <f t="shared" si="20"/>
        <v>0</v>
      </c>
      <c r="K180" s="48" t="s">
        <v>14</v>
      </c>
      <c r="L180" s="48" t="s">
        <v>15</v>
      </c>
      <c r="M180" s="38">
        <v>43465</v>
      </c>
      <c r="N180" s="48" t="s">
        <v>18</v>
      </c>
      <c r="O180" s="35">
        <v>15000</v>
      </c>
      <c r="P180" s="35">
        <v>15000</v>
      </c>
      <c r="Q180" s="35">
        <v>15000</v>
      </c>
      <c r="R180" s="35"/>
      <c r="S180" s="58"/>
      <c r="T180" s="58"/>
    </row>
    <row r="181" spans="1:20" s="15" customFormat="1" ht="26.25" customHeight="1" x14ac:dyDescent="0.2">
      <c r="A181" s="43" t="s">
        <v>551</v>
      </c>
      <c r="B181" s="46" t="s">
        <v>69</v>
      </c>
      <c r="C181" s="44" t="s">
        <v>562</v>
      </c>
      <c r="D181" s="47">
        <v>13698</v>
      </c>
      <c r="E181" s="46" t="s">
        <v>569</v>
      </c>
      <c r="F181" s="35">
        <f>48700*3</f>
        <v>146100</v>
      </c>
      <c r="G181" s="35">
        <f>48700*3</f>
        <v>146100</v>
      </c>
      <c r="H181" s="35">
        <v>0</v>
      </c>
      <c r="I181" s="35">
        <f t="shared" si="19"/>
        <v>146100</v>
      </c>
      <c r="J181" s="36">
        <f t="shared" si="20"/>
        <v>0</v>
      </c>
      <c r="K181" s="48" t="s">
        <v>14</v>
      </c>
      <c r="L181" s="48" t="s">
        <v>15</v>
      </c>
      <c r="M181" s="38">
        <v>42916</v>
      </c>
      <c r="N181" s="48" t="s">
        <v>18</v>
      </c>
      <c r="O181" s="35">
        <v>48700</v>
      </c>
      <c r="P181" s="35">
        <v>48700</v>
      </c>
      <c r="Q181" s="35">
        <v>48700</v>
      </c>
      <c r="R181" s="35"/>
      <c r="S181" s="58"/>
      <c r="T181" s="58"/>
    </row>
    <row r="182" spans="1:20" s="15" customFormat="1" ht="26.25" customHeight="1" x14ac:dyDescent="0.2">
      <c r="A182" s="43" t="s">
        <v>552</v>
      </c>
      <c r="B182" s="46" t="s">
        <v>19</v>
      </c>
      <c r="C182" s="44" t="s">
        <v>317</v>
      </c>
      <c r="D182" s="47">
        <v>13704</v>
      </c>
      <c r="E182" s="46" t="s">
        <v>571</v>
      </c>
      <c r="F182" s="35">
        <v>16331</v>
      </c>
      <c r="G182" s="35">
        <v>6788</v>
      </c>
      <c r="H182" s="35">
        <v>16331</v>
      </c>
      <c r="I182" s="35">
        <f t="shared" si="19"/>
        <v>23119</v>
      </c>
      <c r="J182" s="36">
        <f t="shared" si="20"/>
        <v>2.4058632881555688</v>
      </c>
      <c r="K182" s="48" t="s">
        <v>14</v>
      </c>
      <c r="L182" s="48" t="s">
        <v>14</v>
      </c>
      <c r="M182" s="38">
        <v>42916</v>
      </c>
      <c r="N182" s="48" t="s">
        <v>28</v>
      </c>
      <c r="O182" s="35">
        <v>16331</v>
      </c>
      <c r="P182" s="35"/>
      <c r="Q182" s="35"/>
      <c r="R182" s="35"/>
      <c r="S182" s="58"/>
      <c r="T182" s="58"/>
    </row>
    <row r="183" spans="1:20" s="15" customFormat="1" ht="26.25" customHeight="1" x14ac:dyDescent="0.2">
      <c r="A183" s="43" t="s">
        <v>553</v>
      </c>
      <c r="B183" s="46" t="s">
        <v>19</v>
      </c>
      <c r="C183" s="44" t="s">
        <v>254</v>
      </c>
      <c r="D183" s="47">
        <v>13735</v>
      </c>
      <c r="E183" s="46" t="s">
        <v>570</v>
      </c>
      <c r="F183" s="35">
        <v>15000</v>
      </c>
      <c r="G183" s="35">
        <v>15000</v>
      </c>
      <c r="H183" s="35">
        <v>0</v>
      </c>
      <c r="I183" s="35">
        <f t="shared" si="19"/>
        <v>15000</v>
      </c>
      <c r="J183" s="36">
        <f t="shared" si="20"/>
        <v>0</v>
      </c>
      <c r="K183" s="48" t="s">
        <v>14</v>
      </c>
      <c r="L183" s="48" t="s">
        <v>14</v>
      </c>
      <c r="M183" s="38">
        <v>42916</v>
      </c>
      <c r="N183" s="48"/>
      <c r="O183" s="35">
        <v>15000</v>
      </c>
      <c r="P183" s="35"/>
      <c r="Q183" s="35"/>
      <c r="R183" s="35"/>
      <c r="S183" s="58"/>
      <c r="T183" s="58"/>
    </row>
    <row r="184" spans="1:20" s="15" customFormat="1" ht="26.25" customHeight="1" x14ac:dyDescent="0.2">
      <c r="A184" s="43" t="s">
        <v>572</v>
      </c>
      <c r="B184" s="46" t="s">
        <v>19</v>
      </c>
      <c r="C184" s="44" t="s">
        <v>576</v>
      </c>
      <c r="D184" s="47">
        <v>13649</v>
      </c>
      <c r="E184" s="46" t="s">
        <v>580</v>
      </c>
      <c r="F184" s="35">
        <v>50166</v>
      </c>
      <c r="G184" s="35">
        <v>50166</v>
      </c>
      <c r="H184" s="35">
        <v>0</v>
      </c>
      <c r="I184" s="35">
        <f t="shared" si="19"/>
        <v>50166</v>
      </c>
      <c r="J184" s="36">
        <f t="shared" si="20"/>
        <v>0</v>
      </c>
      <c r="K184" s="48" t="s">
        <v>14</v>
      </c>
      <c r="L184" s="48" t="s">
        <v>14</v>
      </c>
      <c r="M184" s="38">
        <v>42916</v>
      </c>
      <c r="N184" s="48"/>
      <c r="O184" s="35">
        <v>50166</v>
      </c>
      <c r="P184" s="35"/>
      <c r="Q184" s="35"/>
      <c r="R184" s="35"/>
      <c r="S184" s="58"/>
      <c r="T184" s="58"/>
    </row>
    <row r="185" spans="1:20" s="15" customFormat="1" ht="26.25" customHeight="1" x14ac:dyDescent="0.2">
      <c r="A185" s="43" t="s">
        <v>573</v>
      </c>
      <c r="B185" s="46" t="s">
        <v>69</v>
      </c>
      <c r="C185" s="44" t="s">
        <v>577</v>
      </c>
      <c r="D185" s="47">
        <v>13674</v>
      </c>
      <c r="E185" s="46" t="s">
        <v>581</v>
      </c>
      <c r="F185" s="35">
        <v>99000</v>
      </c>
      <c r="G185" s="35">
        <v>99000</v>
      </c>
      <c r="H185" s="35">
        <v>0</v>
      </c>
      <c r="I185" s="35">
        <f t="shared" ref="I185:I191" si="21">G185+H185</f>
        <v>99000</v>
      </c>
      <c r="J185" s="36">
        <f t="shared" ref="J185:J191" si="22">IF(G185=0,100%,(I185-G185)/G185)</f>
        <v>0</v>
      </c>
      <c r="K185" s="48" t="s">
        <v>14</v>
      </c>
      <c r="L185" s="48" t="s">
        <v>14</v>
      </c>
      <c r="M185" s="38">
        <v>43069</v>
      </c>
      <c r="N185" s="48"/>
      <c r="O185" s="35">
        <v>99000</v>
      </c>
      <c r="P185" s="35"/>
      <c r="Q185" s="35"/>
      <c r="R185" s="35"/>
      <c r="S185" s="58"/>
      <c r="T185" s="58"/>
    </row>
    <row r="186" spans="1:20" s="15" customFormat="1" ht="26.25" customHeight="1" x14ac:dyDescent="0.2">
      <c r="A186" s="43" t="s">
        <v>574</v>
      </c>
      <c r="B186" s="46" t="s">
        <v>69</v>
      </c>
      <c r="C186" s="44" t="s">
        <v>578</v>
      </c>
      <c r="D186" s="47">
        <v>13696</v>
      </c>
      <c r="E186" s="46" t="s">
        <v>583</v>
      </c>
      <c r="F186" s="35">
        <f>59408*3</f>
        <v>178224</v>
      </c>
      <c r="G186" s="35">
        <f>59408*3</f>
        <v>178224</v>
      </c>
      <c r="H186" s="35">
        <v>0</v>
      </c>
      <c r="I186" s="35">
        <f t="shared" si="21"/>
        <v>178224</v>
      </c>
      <c r="J186" s="36">
        <f t="shared" si="22"/>
        <v>0</v>
      </c>
      <c r="K186" s="48" t="s">
        <v>14</v>
      </c>
      <c r="L186" s="48" t="s">
        <v>14</v>
      </c>
      <c r="M186" s="38">
        <v>43085</v>
      </c>
      <c r="N186" s="48" t="s">
        <v>18</v>
      </c>
      <c r="O186" s="35">
        <v>59408</v>
      </c>
      <c r="P186" s="35">
        <v>59408</v>
      </c>
      <c r="Q186" s="35">
        <v>59408</v>
      </c>
      <c r="R186" s="35"/>
      <c r="S186" s="58"/>
      <c r="T186" s="58"/>
    </row>
    <row r="187" spans="1:20" s="15" customFormat="1" ht="26.25" customHeight="1" x14ac:dyDescent="0.2">
      <c r="A187" s="43" t="s">
        <v>575</v>
      </c>
      <c r="B187" s="46" t="s">
        <v>69</v>
      </c>
      <c r="C187" s="44" t="s">
        <v>579</v>
      </c>
      <c r="D187" s="47">
        <v>13701</v>
      </c>
      <c r="E187" s="46" t="s">
        <v>582</v>
      </c>
      <c r="F187" s="35">
        <f>99000*3</f>
        <v>297000</v>
      </c>
      <c r="G187" s="35">
        <f>99000*3</f>
        <v>297000</v>
      </c>
      <c r="H187" s="35">
        <v>0</v>
      </c>
      <c r="I187" s="35">
        <f t="shared" si="21"/>
        <v>297000</v>
      </c>
      <c r="J187" s="36">
        <f t="shared" si="22"/>
        <v>0</v>
      </c>
      <c r="K187" s="48" t="s">
        <v>14</v>
      </c>
      <c r="L187" s="48" t="s">
        <v>14</v>
      </c>
      <c r="M187" s="38">
        <v>43070</v>
      </c>
      <c r="N187" s="48" t="s">
        <v>18</v>
      </c>
      <c r="O187" s="35">
        <v>99000</v>
      </c>
      <c r="P187" s="35">
        <v>99000</v>
      </c>
      <c r="Q187" s="35">
        <v>99000</v>
      </c>
      <c r="R187" s="35"/>
      <c r="S187" s="58"/>
      <c r="T187" s="58"/>
    </row>
    <row r="188" spans="1:20" s="15" customFormat="1" ht="18" customHeight="1" x14ac:dyDescent="0.2">
      <c r="A188" s="43" t="s">
        <v>584</v>
      </c>
      <c r="B188" s="46" t="s">
        <v>62</v>
      </c>
      <c r="C188" s="44" t="s">
        <v>534</v>
      </c>
      <c r="D188" s="47">
        <v>13343</v>
      </c>
      <c r="E188" s="46" t="s">
        <v>670</v>
      </c>
      <c r="F188" s="35">
        <v>68737</v>
      </c>
      <c r="G188" s="35">
        <v>68737</v>
      </c>
      <c r="H188" s="35">
        <v>0</v>
      </c>
      <c r="I188" s="35">
        <f t="shared" si="21"/>
        <v>68737</v>
      </c>
      <c r="J188" s="36">
        <f t="shared" si="22"/>
        <v>0</v>
      </c>
      <c r="K188" s="48" t="s">
        <v>14</v>
      </c>
      <c r="L188" s="48" t="s">
        <v>14</v>
      </c>
      <c r="M188" s="38">
        <v>42916</v>
      </c>
      <c r="N188" s="48"/>
      <c r="O188" s="35">
        <v>68737</v>
      </c>
      <c r="P188" s="35"/>
      <c r="Q188" s="35"/>
      <c r="R188" s="35"/>
      <c r="S188" s="58"/>
      <c r="T188" s="58"/>
    </row>
    <row r="189" spans="1:20" s="15" customFormat="1" ht="18" customHeight="1" x14ac:dyDescent="0.2">
      <c r="A189" s="43" t="s">
        <v>585</v>
      </c>
      <c r="B189" s="46" t="s">
        <v>21</v>
      </c>
      <c r="C189" s="44" t="s">
        <v>588</v>
      </c>
      <c r="D189" s="47">
        <v>13646</v>
      </c>
      <c r="E189" s="46" t="s">
        <v>669</v>
      </c>
      <c r="F189" s="35">
        <f>60000*3</f>
        <v>180000</v>
      </c>
      <c r="G189" s="35">
        <f>60000*3</f>
        <v>180000</v>
      </c>
      <c r="H189" s="35">
        <v>0</v>
      </c>
      <c r="I189" s="35">
        <f t="shared" si="21"/>
        <v>180000</v>
      </c>
      <c r="J189" s="36">
        <f t="shared" si="22"/>
        <v>0</v>
      </c>
      <c r="K189" s="48" t="s">
        <v>14</v>
      </c>
      <c r="L189" s="48" t="s">
        <v>15</v>
      </c>
      <c r="M189" s="38">
        <v>42916</v>
      </c>
      <c r="N189" s="48" t="s">
        <v>18</v>
      </c>
      <c r="O189" s="35">
        <v>60000</v>
      </c>
      <c r="P189" s="35">
        <v>60000</v>
      </c>
      <c r="Q189" s="35">
        <v>60000</v>
      </c>
      <c r="R189" s="35"/>
      <c r="S189" s="58"/>
      <c r="T189" s="58"/>
    </row>
    <row r="190" spans="1:20" s="15" customFormat="1" ht="18" customHeight="1" x14ac:dyDescent="0.2">
      <c r="A190" s="43" t="s">
        <v>586</v>
      </c>
      <c r="B190" s="46" t="s">
        <v>19</v>
      </c>
      <c r="C190" s="44" t="s">
        <v>589</v>
      </c>
      <c r="D190" s="47">
        <v>13773</v>
      </c>
      <c r="E190" s="46" t="s">
        <v>587</v>
      </c>
      <c r="F190" s="35">
        <v>62700</v>
      </c>
      <c r="G190" s="35">
        <v>62700</v>
      </c>
      <c r="H190" s="35">
        <v>0</v>
      </c>
      <c r="I190" s="35">
        <f t="shared" si="21"/>
        <v>62700</v>
      </c>
      <c r="J190" s="36">
        <f t="shared" si="22"/>
        <v>0</v>
      </c>
      <c r="K190" s="48" t="s">
        <v>14</v>
      </c>
      <c r="L190" s="48" t="s">
        <v>14</v>
      </c>
      <c r="M190" s="38">
        <v>42916</v>
      </c>
      <c r="N190" s="48"/>
      <c r="O190" s="35">
        <v>62700</v>
      </c>
      <c r="P190" s="35"/>
      <c r="Q190" s="35"/>
      <c r="R190" s="35"/>
      <c r="S190" s="58"/>
      <c r="T190" s="58"/>
    </row>
    <row r="191" spans="1:20" s="15" customFormat="1" ht="26.25" customHeight="1" x14ac:dyDescent="0.2">
      <c r="A191" s="43" t="s">
        <v>590</v>
      </c>
      <c r="B191" s="46" t="s">
        <v>596</v>
      </c>
      <c r="C191" s="44" t="s">
        <v>598</v>
      </c>
      <c r="D191" s="47">
        <v>13692</v>
      </c>
      <c r="E191" s="46" t="s">
        <v>604</v>
      </c>
      <c r="F191" s="35">
        <v>13416</v>
      </c>
      <c r="G191" s="35">
        <v>13416</v>
      </c>
      <c r="H191" s="35">
        <v>0</v>
      </c>
      <c r="I191" s="35">
        <f t="shared" si="21"/>
        <v>13416</v>
      </c>
      <c r="J191" s="36">
        <f t="shared" si="22"/>
        <v>0</v>
      </c>
      <c r="K191" s="48" t="s">
        <v>14</v>
      </c>
      <c r="L191" s="48" t="s">
        <v>14</v>
      </c>
      <c r="M191" s="38">
        <v>43220</v>
      </c>
      <c r="N191" s="48"/>
      <c r="O191" s="35">
        <v>13416</v>
      </c>
      <c r="P191" s="35"/>
      <c r="Q191" s="35"/>
      <c r="R191" s="35"/>
      <c r="S191" s="58"/>
      <c r="T191" s="58"/>
    </row>
    <row r="192" spans="1:20" s="15" customFormat="1" ht="26.25" customHeight="1" x14ac:dyDescent="0.2">
      <c r="A192" s="43" t="s">
        <v>591</v>
      </c>
      <c r="B192" s="46" t="s">
        <v>597</v>
      </c>
      <c r="C192" s="44" t="s">
        <v>599</v>
      </c>
      <c r="D192" s="47">
        <v>13768</v>
      </c>
      <c r="E192" s="46" t="s">
        <v>605</v>
      </c>
      <c r="F192" s="35">
        <f>27650*2</f>
        <v>55300</v>
      </c>
      <c r="G192" s="35">
        <f>27650*2</f>
        <v>55300</v>
      </c>
      <c r="H192" s="35">
        <v>0</v>
      </c>
      <c r="I192" s="35">
        <f t="shared" ref="I192:I197" si="23">G192+H192</f>
        <v>55300</v>
      </c>
      <c r="J192" s="36">
        <f t="shared" ref="J192:J197" si="24">IF(G192=0,100%,(I192-G192)/G192)</f>
        <v>0</v>
      </c>
      <c r="K192" s="48" t="s">
        <v>14</v>
      </c>
      <c r="L192" s="48" t="s">
        <v>14</v>
      </c>
      <c r="M192" s="38">
        <v>42795</v>
      </c>
      <c r="N192" s="48" t="s">
        <v>18</v>
      </c>
      <c r="O192" s="35">
        <v>27650</v>
      </c>
      <c r="P192" s="35">
        <v>27650</v>
      </c>
      <c r="Q192" s="35"/>
      <c r="R192" s="35"/>
      <c r="S192" s="58"/>
      <c r="T192" s="58"/>
    </row>
    <row r="193" spans="1:20" s="15" customFormat="1" ht="26.25" customHeight="1" x14ac:dyDescent="0.2">
      <c r="A193" s="43" t="s">
        <v>592</v>
      </c>
      <c r="B193" s="46" t="s">
        <v>21</v>
      </c>
      <c r="C193" s="44" t="s">
        <v>600</v>
      </c>
      <c r="D193" s="47">
        <v>13757</v>
      </c>
      <c r="E193" s="46" t="s">
        <v>606</v>
      </c>
      <c r="F193" s="35">
        <v>8485</v>
      </c>
      <c r="G193" s="35">
        <v>8485</v>
      </c>
      <c r="H193" s="35">
        <v>0</v>
      </c>
      <c r="I193" s="35">
        <f t="shared" si="23"/>
        <v>8485</v>
      </c>
      <c r="J193" s="36">
        <f t="shared" si="24"/>
        <v>0</v>
      </c>
      <c r="K193" s="48" t="s">
        <v>14</v>
      </c>
      <c r="L193" s="48" t="s">
        <v>15</v>
      </c>
      <c r="M193" s="38">
        <v>42825</v>
      </c>
      <c r="N193" s="48"/>
      <c r="O193" s="35">
        <v>8485</v>
      </c>
      <c r="P193" s="35"/>
      <c r="Q193" s="35"/>
      <c r="R193" s="35"/>
      <c r="S193" s="58"/>
      <c r="T193" s="58"/>
    </row>
    <row r="194" spans="1:20" s="15" customFormat="1" ht="18" customHeight="1" x14ac:dyDescent="0.2">
      <c r="A194" s="43" t="s">
        <v>593</v>
      </c>
      <c r="B194" s="46" t="s">
        <v>19</v>
      </c>
      <c r="C194" s="44" t="s">
        <v>601</v>
      </c>
      <c r="D194" s="47">
        <v>13775</v>
      </c>
      <c r="E194" s="46" t="s">
        <v>668</v>
      </c>
      <c r="F194" s="35">
        <v>21230</v>
      </c>
      <c r="G194" s="35">
        <v>21230</v>
      </c>
      <c r="H194" s="35">
        <v>0</v>
      </c>
      <c r="I194" s="35">
        <f t="shared" si="23"/>
        <v>21230</v>
      </c>
      <c r="J194" s="36">
        <f t="shared" si="24"/>
        <v>0</v>
      </c>
      <c r="K194" s="48" t="s">
        <v>14</v>
      </c>
      <c r="L194" s="48" t="s">
        <v>14</v>
      </c>
      <c r="M194" s="38">
        <v>42916</v>
      </c>
      <c r="N194" s="48"/>
      <c r="O194" s="35">
        <v>21230</v>
      </c>
      <c r="P194" s="35"/>
      <c r="Q194" s="35"/>
      <c r="R194" s="35"/>
      <c r="S194" s="58"/>
      <c r="T194" s="58"/>
    </row>
    <row r="195" spans="1:20" s="15" customFormat="1" ht="18" customHeight="1" x14ac:dyDescent="0.2">
      <c r="A195" s="43" t="s">
        <v>594</v>
      </c>
      <c r="B195" s="46" t="s">
        <v>19</v>
      </c>
      <c r="C195" s="44" t="s">
        <v>602</v>
      </c>
      <c r="D195" s="47">
        <v>13776</v>
      </c>
      <c r="E195" s="46" t="s">
        <v>668</v>
      </c>
      <c r="F195" s="35">
        <v>31950</v>
      </c>
      <c r="G195" s="35">
        <v>31950</v>
      </c>
      <c r="H195" s="35">
        <v>0</v>
      </c>
      <c r="I195" s="35">
        <f t="shared" si="23"/>
        <v>31950</v>
      </c>
      <c r="J195" s="36">
        <f t="shared" si="24"/>
        <v>0</v>
      </c>
      <c r="K195" s="48" t="s">
        <v>14</v>
      </c>
      <c r="L195" s="48" t="s">
        <v>14</v>
      </c>
      <c r="M195" s="38">
        <v>42916</v>
      </c>
      <c r="N195" s="48"/>
      <c r="O195" s="35">
        <v>31950</v>
      </c>
      <c r="P195" s="35"/>
      <c r="Q195" s="35"/>
      <c r="R195" s="35"/>
      <c r="S195" s="58"/>
      <c r="T195" s="58"/>
    </row>
    <row r="196" spans="1:20" s="15" customFormat="1" ht="26.25" customHeight="1" x14ac:dyDescent="0.2">
      <c r="A196" s="43" t="s">
        <v>595</v>
      </c>
      <c r="B196" s="46" t="s">
        <v>21</v>
      </c>
      <c r="C196" s="44" t="s">
        <v>603</v>
      </c>
      <c r="D196" s="47">
        <v>13788</v>
      </c>
      <c r="E196" s="46" t="s">
        <v>607</v>
      </c>
      <c r="F196" s="35">
        <v>20901</v>
      </c>
      <c r="G196" s="35">
        <v>20901</v>
      </c>
      <c r="H196" s="35">
        <v>0</v>
      </c>
      <c r="I196" s="35">
        <f t="shared" si="23"/>
        <v>20901</v>
      </c>
      <c r="J196" s="36">
        <f t="shared" si="24"/>
        <v>0</v>
      </c>
      <c r="K196" s="48" t="s">
        <v>14</v>
      </c>
      <c r="L196" s="48" t="s">
        <v>14</v>
      </c>
      <c r="M196" s="38">
        <v>42916</v>
      </c>
      <c r="N196" s="48"/>
      <c r="O196" s="35">
        <v>20901</v>
      </c>
      <c r="P196" s="35"/>
      <c r="Q196" s="35"/>
      <c r="R196" s="35"/>
      <c r="S196" s="58"/>
      <c r="T196" s="58"/>
    </row>
    <row r="197" spans="1:20" s="15" customFormat="1" ht="26.25" customHeight="1" x14ac:dyDescent="0.2">
      <c r="A197" s="43" t="s">
        <v>608</v>
      </c>
      <c r="B197" s="46" t="s">
        <v>92</v>
      </c>
      <c r="C197" s="44" t="s">
        <v>29</v>
      </c>
      <c r="D197" s="54" t="s">
        <v>614</v>
      </c>
      <c r="E197" s="46" t="s">
        <v>617</v>
      </c>
      <c r="F197" s="35">
        <v>20000</v>
      </c>
      <c r="G197" s="35">
        <v>79260</v>
      </c>
      <c r="H197" s="35">
        <v>20000</v>
      </c>
      <c r="I197" s="35">
        <f t="shared" si="23"/>
        <v>99260</v>
      </c>
      <c r="J197" s="36">
        <f t="shared" si="24"/>
        <v>0.25233409033560433</v>
      </c>
      <c r="K197" s="48" t="s">
        <v>14</v>
      </c>
      <c r="L197" s="48" t="s">
        <v>14</v>
      </c>
      <c r="M197" s="38">
        <v>42916</v>
      </c>
      <c r="N197" s="48" t="s">
        <v>28</v>
      </c>
      <c r="O197" s="35">
        <v>20000</v>
      </c>
      <c r="P197" s="35"/>
      <c r="Q197" s="35"/>
      <c r="R197" s="35"/>
      <c r="S197" s="58"/>
      <c r="T197" s="58"/>
    </row>
    <row r="198" spans="1:20" s="15" customFormat="1" ht="26.25" customHeight="1" x14ac:dyDescent="0.2">
      <c r="A198" s="43" t="s">
        <v>609</v>
      </c>
      <c r="B198" s="46" t="s">
        <v>21</v>
      </c>
      <c r="C198" s="44" t="s">
        <v>612</v>
      </c>
      <c r="D198" s="47">
        <v>13753</v>
      </c>
      <c r="E198" s="46" t="s">
        <v>666</v>
      </c>
      <c r="F198" s="35">
        <v>95000</v>
      </c>
      <c r="G198" s="35">
        <v>95000</v>
      </c>
      <c r="H198" s="35">
        <v>0</v>
      </c>
      <c r="I198" s="35">
        <f>G198+H198</f>
        <v>95000</v>
      </c>
      <c r="J198" s="36">
        <f>IF(G198=0,100%,(I198-G198)/G198)</f>
        <v>0</v>
      </c>
      <c r="K198" s="48" t="s">
        <v>14</v>
      </c>
      <c r="L198" s="48" t="s">
        <v>15</v>
      </c>
      <c r="M198" s="52">
        <v>42855</v>
      </c>
      <c r="N198" s="48"/>
      <c r="O198" s="35">
        <v>95000</v>
      </c>
      <c r="P198" s="35"/>
      <c r="Q198" s="35"/>
      <c r="R198" s="35"/>
      <c r="S198" s="58"/>
      <c r="T198" s="58"/>
    </row>
    <row r="199" spans="1:20" s="15" customFormat="1" ht="26.25" customHeight="1" x14ac:dyDescent="0.2">
      <c r="A199" s="43" t="s">
        <v>610</v>
      </c>
      <c r="B199" s="46" t="s">
        <v>611</v>
      </c>
      <c r="C199" s="44" t="s">
        <v>613</v>
      </c>
      <c r="D199" s="47" t="s">
        <v>615</v>
      </c>
      <c r="E199" s="46" t="s">
        <v>616</v>
      </c>
      <c r="F199" s="35">
        <f>99000*3</f>
        <v>297000</v>
      </c>
      <c r="G199" s="35">
        <f>99000*3</f>
        <v>297000</v>
      </c>
      <c r="H199" s="35">
        <v>0</v>
      </c>
      <c r="I199" s="35">
        <f>G199+H199</f>
        <v>297000</v>
      </c>
      <c r="J199" s="36">
        <f>IF(G199=0,100%,(I199-G199)/G199)</f>
        <v>0</v>
      </c>
      <c r="K199" s="48" t="s">
        <v>14</v>
      </c>
      <c r="L199" s="48" t="s">
        <v>14</v>
      </c>
      <c r="M199" s="38">
        <v>43100</v>
      </c>
      <c r="N199" s="48" t="s">
        <v>18</v>
      </c>
      <c r="O199" s="35">
        <v>99000</v>
      </c>
      <c r="P199" s="35">
        <v>99000</v>
      </c>
      <c r="Q199" s="35">
        <v>99000</v>
      </c>
      <c r="R199" s="35"/>
      <c r="S199" s="58"/>
      <c r="T199" s="58"/>
    </row>
    <row r="200" spans="1:20" s="15" customFormat="1" ht="26.25" customHeight="1" x14ac:dyDescent="0.2">
      <c r="A200" s="43" t="s">
        <v>618</v>
      </c>
      <c r="B200" s="46" t="s">
        <v>26</v>
      </c>
      <c r="C200" s="44" t="s">
        <v>636</v>
      </c>
      <c r="D200" s="54" t="s">
        <v>660</v>
      </c>
      <c r="E200" s="46" t="s">
        <v>635</v>
      </c>
      <c r="F200" s="35">
        <v>15000</v>
      </c>
      <c r="G200" s="35">
        <v>15000</v>
      </c>
      <c r="H200" s="35">
        <v>0</v>
      </c>
      <c r="I200" s="35">
        <f t="shared" ref="I200:I215" si="25">G200+H200</f>
        <v>15000</v>
      </c>
      <c r="J200" s="36">
        <f t="shared" ref="J200:J215" si="26">IF(G200=0,100%,(I200-G200)/G200)</f>
        <v>0</v>
      </c>
      <c r="K200" s="48" t="s">
        <v>14</v>
      </c>
      <c r="L200" s="48" t="s">
        <v>14</v>
      </c>
      <c r="M200" s="38">
        <v>43281</v>
      </c>
      <c r="N200" s="48"/>
      <c r="O200" s="35">
        <v>15000</v>
      </c>
      <c r="P200" s="35"/>
      <c r="Q200" s="35"/>
      <c r="R200" s="35"/>
      <c r="S200" s="58"/>
      <c r="T200" s="58"/>
    </row>
    <row r="201" spans="1:20" s="15" customFormat="1" ht="18" customHeight="1" x14ac:dyDescent="0.2">
      <c r="A201" s="43" t="s">
        <v>619</v>
      </c>
      <c r="B201" s="46" t="s">
        <v>19</v>
      </c>
      <c r="C201" s="44" t="s">
        <v>637</v>
      </c>
      <c r="D201" s="47">
        <v>13774</v>
      </c>
      <c r="E201" s="46" t="s">
        <v>667</v>
      </c>
      <c r="F201" s="35">
        <v>22400</v>
      </c>
      <c r="G201" s="35">
        <v>22400</v>
      </c>
      <c r="H201" s="35">
        <v>0</v>
      </c>
      <c r="I201" s="35">
        <f t="shared" si="25"/>
        <v>22400</v>
      </c>
      <c r="J201" s="36">
        <f t="shared" si="26"/>
        <v>0</v>
      </c>
      <c r="K201" s="48" t="s">
        <v>14</v>
      </c>
      <c r="L201" s="48" t="s">
        <v>14</v>
      </c>
      <c r="M201" s="38">
        <v>42916</v>
      </c>
      <c r="N201" s="48"/>
      <c r="O201" s="35">
        <v>22400</v>
      </c>
      <c r="P201" s="35"/>
      <c r="Q201" s="35"/>
      <c r="R201" s="35"/>
      <c r="S201" s="58"/>
      <c r="T201" s="58"/>
    </row>
    <row r="202" spans="1:20" s="15" customFormat="1" ht="26.25" customHeight="1" x14ac:dyDescent="0.2">
      <c r="A202" s="43" t="s">
        <v>620</v>
      </c>
      <c r="B202" s="46" t="s">
        <v>634</v>
      </c>
      <c r="C202" s="44" t="s">
        <v>638</v>
      </c>
      <c r="D202" s="47">
        <v>13749</v>
      </c>
      <c r="E202" s="46" t="s">
        <v>647</v>
      </c>
      <c r="F202" s="35">
        <v>10500</v>
      </c>
      <c r="G202" s="35">
        <v>10500</v>
      </c>
      <c r="H202" s="35">
        <v>0</v>
      </c>
      <c r="I202" s="35">
        <f t="shared" si="25"/>
        <v>10500</v>
      </c>
      <c r="J202" s="36">
        <f t="shared" si="26"/>
        <v>0</v>
      </c>
      <c r="K202" s="48" t="s">
        <v>14</v>
      </c>
      <c r="L202" s="48" t="s">
        <v>14</v>
      </c>
      <c r="M202" s="38">
        <v>42706</v>
      </c>
      <c r="N202" s="48"/>
      <c r="O202" s="35">
        <v>10500</v>
      </c>
      <c r="P202" s="35"/>
      <c r="Q202" s="35"/>
      <c r="R202" s="35"/>
      <c r="S202" s="58"/>
      <c r="T202" s="58"/>
    </row>
    <row r="203" spans="1:20" s="15" customFormat="1" ht="26.25" customHeight="1" x14ac:dyDescent="0.2">
      <c r="A203" s="43" t="s">
        <v>621</v>
      </c>
      <c r="B203" s="46" t="s">
        <v>69</v>
      </c>
      <c r="C203" s="44" t="s">
        <v>401</v>
      </c>
      <c r="D203" s="47">
        <v>13752</v>
      </c>
      <c r="E203" s="46" t="s">
        <v>648</v>
      </c>
      <c r="F203" s="35">
        <v>11375</v>
      </c>
      <c r="G203" s="35">
        <v>11375</v>
      </c>
      <c r="H203" s="35">
        <v>0</v>
      </c>
      <c r="I203" s="35">
        <f t="shared" si="25"/>
        <v>11375</v>
      </c>
      <c r="J203" s="36">
        <f t="shared" si="26"/>
        <v>0</v>
      </c>
      <c r="K203" s="48" t="s">
        <v>14</v>
      </c>
      <c r="L203" s="48" t="s">
        <v>14</v>
      </c>
      <c r="M203" s="38">
        <v>43084</v>
      </c>
      <c r="N203" s="48"/>
      <c r="O203" s="35">
        <v>11375</v>
      </c>
      <c r="P203" s="35"/>
      <c r="Q203" s="35"/>
      <c r="R203" s="35"/>
      <c r="S203" s="58"/>
      <c r="T203" s="58"/>
    </row>
    <row r="204" spans="1:20" s="15" customFormat="1" ht="26.25" customHeight="1" x14ac:dyDescent="0.2">
      <c r="A204" s="43" t="s">
        <v>622</v>
      </c>
      <c r="B204" s="46" t="s">
        <v>19</v>
      </c>
      <c r="C204" s="44" t="s">
        <v>131</v>
      </c>
      <c r="D204" s="54" t="s">
        <v>661</v>
      </c>
      <c r="E204" s="46" t="s">
        <v>665</v>
      </c>
      <c r="F204" s="35">
        <v>20000</v>
      </c>
      <c r="G204" s="35">
        <v>20000</v>
      </c>
      <c r="H204" s="35">
        <v>0</v>
      </c>
      <c r="I204" s="35">
        <f t="shared" si="25"/>
        <v>20000</v>
      </c>
      <c r="J204" s="36">
        <f t="shared" si="26"/>
        <v>0</v>
      </c>
      <c r="K204" s="48" t="s">
        <v>14</v>
      </c>
      <c r="L204" s="48" t="s">
        <v>14</v>
      </c>
      <c r="M204" s="38">
        <v>42916</v>
      </c>
      <c r="N204" s="48"/>
      <c r="O204" s="35">
        <v>20000</v>
      </c>
      <c r="P204" s="35"/>
      <c r="Q204" s="35"/>
      <c r="R204" s="35"/>
      <c r="S204" s="58"/>
      <c r="T204" s="58"/>
    </row>
    <row r="205" spans="1:20" s="15" customFormat="1" ht="26.25" customHeight="1" x14ac:dyDescent="0.2">
      <c r="A205" s="43" t="s">
        <v>623</v>
      </c>
      <c r="B205" s="46" t="s">
        <v>19</v>
      </c>
      <c r="C205" s="44" t="s">
        <v>34</v>
      </c>
      <c r="D205" s="47">
        <v>13764</v>
      </c>
      <c r="E205" s="46" t="s">
        <v>659</v>
      </c>
      <c r="F205" s="35">
        <v>6700</v>
      </c>
      <c r="G205" s="35">
        <v>6700</v>
      </c>
      <c r="H205" s="35">
        <v>0</v>
      </c>
      <c r="I205" s="35">
        <f t="shared" si="25"/>
        <v>6700</v>
      </c>
      <c r="J205" s="36">
        <f t="shared" si="26"/>
        <v>0</v>
      </c>
      <c r="K205" s="48" t="s">
        <v>14</v>
      </c>
      <c r="L205" s="48" t="s">
        <v>14</v>
      </c>
      <c r="M205" s="38">
        <v>42916</v>
      </c>
      <c r="N205" s="48"/>
      <c r="O205" s="35">
        <v>6700</v>
      </c>
      <c r="P205" s="35"/>
      <c r="Q205" s="35"/>
      <c r="R205" s="35"/>
      <c r="S205" s="58"/>
      <c r="T205" s="58"/>
    </row>
    <row r="206" spans="1:20" s="15" customFormat="1" ht="26.25" customHeight="1" x14ac:dyDescent="0.2">
      <c r="A206" s="43" t="s">
        <v>624</v>
      </c>
      <c r="B206" s="46" t="s">
        <v>69</v>
      </c>
      <c r="C206" s="44" t="s">
        <v>639</v>
      </c>
      <c r="D206" s="47">
        <v>13766</v>
      </c>
      <c r="E206" s="46" t="s">
        <v>649</v>
      </c>
      <c r="F206" s="35">
        <f>42320+47800+47800</f>
        <v>137920</v>
      </c>
      <c r="G206" s="35">
        <f>42320+47800+47800</f>
        <v>137920</v>
      </c>
      <c r="H206" s="35">
        <v>0</v>
      </c>
      <c r="I206" s="35">
        <f t="shared" si="25"/>
        <v>137920</v>
      </c>
      <c r="J206" s="36">
        <f t="shared" si="26"/>
        <v>0</v>
      </c>
      <c r="K206" s="48" t="s">
        <v>14</v>
      </c>
      <c r="L206" s="48" t="s">
        <v>14</v>
      </c>
      <c r="M206" s="38">
        <v>43085</v>
      </c>
      <c r="N206" s="48" t="s">
        <v>18</v>
      </c>
      <c r="O206" s="35">
        <v>42320</v>
      </c>
      <c r="P206" s="35">
        <v>47800</v>
      </c>
      <c r="Q206" s="35">
        <v>47800</v>
      </c>
      <c r="R206" s="35"/>
      <c r="S206" s="58"/>
      <c r="T206" s="58"/>
    </row>
    <row r="207" spans="1:20" s="15" customFormat="1" ht="26.25" customHeight="1" x14ac:dyDescent="0.2">
      <c r="A207" s="43" t="s">
        <v>625</v>
      </c>
      <c r="B207" s="46" t="s">
        <v>166</v>
      </c>
      <c r="C207" s="44" t="s">
        <v>640</v>
      </c>
      <c r="D207" s="47">
        <v>13767</v>
      </c>
      <c r="E207" s="46" t="s">
        <v>650</v>
      </c>
      <c r="F207" s="35">
        <v>49500</v>
      </c>
      <c r="G207" s="35">
        <v>49500</v>
      </c>
      <c r="H207" s="35">
        <v>0</v>
      </c>
      <c r="I207" s="35">
        <f t="shared" si="25"/>
        <v>49500</v>
      </c>
      <c r="J207" s="36">
        <f t="shared" si="26"/>
        <v>0</v>
      </c>
      <c r="K207" s="48" t="s">
        <v>14</v>
      </c>
      <c r="L207" s="48" t="s">
        <v>14</v>
      </c>
      <c r="M207" s="38">
        <v>42916</v>
      </c>
      <c r="N207" s="48"/>
      <c r="O207" s="35">
        <v>49500</v>
      </c>
      <c r="P207" s="35"/>
      <c r="Q207" s="35"/>
      <c r="R207" s="35"/>
      <c r="S207" s="58"/>
      <c r="T207" s="58"/>
    </row>
    <row r="208" spans="1:20" s="15" customFormat="1" ht="26.25" customHeight="1" x14ac:dyDescent="0.2">
      <c r="A208" s="43" t="s">
        <v>626</v>
      </c>
      <c r="B208" s="46" t="s">
        <v>21</v>
      </c>
      <c r="C208" s="44" t="s">
        <v>641</v>
      </c>
      <c r="D208" s="47">
        <v>13787</v>
      </c>
      <c r="E208" s="46" t="s">
        <v>651</v>
      </c>
      <c r="F208" s="35">
        <v>18500</v>
      </c>
      <c r="G208" s="35">
        <v>18500</v>
      </c>
      <c r="H208" s="35">
        <v>0</v>
      </c>
      <c r="I208" s="35">
        <f t="shared" si="25"/>
        <v>18500</v>
      </c>
      <c r="J208" s="36">
        <f t="shared" si="26"/>
        <v>0</v>
      </c>
      <c r="K208" s="48" t="s">
        <v>15</v>
      </c>
      <c r="L208" s="48" t="s">
        <v>14</v>
      </c>
      <c r="M208" s="38">
        <v>42781</v>
      </c>
      <c r="N208" s="48"/>
      <c r="O208" s="35">
        <v>18500</v>
      </c>
      <c r="P208" s="35"/>
      <c r="Q208" s="35"/>
      <c r="R208" s="35"/>
      <c r="S208" s="58"/>
      <c r="T208" s="58"/>
    </row>
    <row r="209" spans="1:20" s="15" customFormat="1" ht="26.25" customHeight="1" x14ac:dyDescent="0.2">
      <c r="A209" s="43" t="s">
        <v>627</v>
      </c>
      <c r="B209" s="46" t="s">
        <v>30</v>
      </c>
      <c r="C209" s="44" t="s">
        <v>375</v>
      </c>
      <c r="D209" s="54" t="s">
        <v>662</v>
      </c>
      <c r="E209" s="46" t="s">
        <v>652</v>
      </c>
      <c r="F209" s="35">
        <v>8360</v>
      </c>
      <c r="G209" s="35">
        <v>8360</v>
      </c>
      <c r="H209" s="35">
        <v>0</v>
      </c>
      <c r="I209" s="35">
        <f t="shared" si="25"/>
        <v>8360</v>
      </c>
      <c r="J209" s="36">
        <f t="shared" si="26"/>
        <v>0</v>
      </c>
      <c r="K209" s="48" t="s">
        <v>14</v>
      </c>
      <c r="L209" s="48" t="s">
        <v>14</v>
      </c>
      <c r="M209" s="38">
        <v>43084</v>
      </c>
      <c r="N209" s="48"/>
      <c r="O209" s="35">
        <v>8360</v>
      </c>
      <c r="P209" s="35"/>
      <c r="Q209" s="35"/>
      <c r="R209" s="35"/>
      <c r="S209" s="58"/>
      <c r="T209" s="58"/>
    </row>
    <row r="210" spans="1:20" s="15" customFormat="1" ht="26.25" customHeight="1" x14ac:dyDescent="0.2">
      <c r="A210" s="43" t="s">
        <v>628</v>
      </c>
      <c r="B210" s="46" t="s">
        <v>31</v>
      </c>
      <c r="C210" s="44" t="s">
        <v>642</v>
      </c>
      <c r="D210" s="47">
        <v>13797</v>
      </c>
      <c r="E210" s="46" t="s">
        <v>653</v>
      </c>
      <c r="F210" s="35">
        <f>13500*2</f>
        <v>27000</v>
      </c>
      <c r="G210" s="35">
        <f>13500*2</f>
        <v>27000</v>
      </c>
      <c r="H210" s="35">
        <v>0</v>
      </c>
      <c r="I210" s="35">
        <f t="shared" si="25"/>
        <v>27000</v>
      </c>
      <c r="J210" s="36">
        <f t="shared" si="26"/>
        <v>0</v>
      </c>
      <c r="K210" s="48" t="s">
        <v>14</v>
      </c>
      <c r="L210" s="48" t="s">
        <v>14</v>
      </c>
      <c r="M210" s="38">
        <v>42767</v>
      </c>
      <c r="N210" s="48" t="s">
        <v>18</v>
      </c>
      <c r="O210" s="35">
        <v>13500</v>
      </c>
      <c r="P210" s="35">
        <v>13500</v>
      </c>
      <c r="Q210" s="35"/>
      <c r="R210" s="35"/>
      <c r="S210" s="58"/>
      <c r="T210" s="58"/>
    </row>
    <row r="211" spans="1:20" s="15" customFormat="1" ht="26.25" customHeight="1" x14ac:dyDescent="0.2">
      <c r="A211" s="43" t="s">
        <v>629</v>
      </c>
      <c r="B211" s="46" t="s">
        <v>17</v>
      </c>
      <c r="C211" s="44" t="s">
        <v>643</v>
      </c>
      <c r="D211" s="47">
        <v>13804</v>
      </c>
      <c r="E211" s="46" t="s">
        <v>654</v>
      </c>
      <c r="F211" s="35">
        <f>9540*3</f>
        <v>28620</v>
      </c>
      <c r="G211" s="35">
        <f>9540*3</f>
        <v>28620</v>
      </c>
      <c r="H211" s="35">
        <v>0</v>
      </c>
      <c r="I211" s="35">
        <f t="shared" si="25"/>
        <v>28620</v>
      </c>
      <c r="J211" s="36">
        <f t="shared" si="26"/>
        <v>0</v>
      </c>
      <c r="K211" s="48" t="s">
        <v>14</v>
      </c>
      <c r="L211" s="48" t="s">
        <v>14</v>
      </c>
      <c r="M211" s="38">
        <v>42916</v>
      </c>
      <c r="N211" s="48" t="s">
        <v>18</v>
      </c>
      <c r="O211" s="35">
        <v>9540</v>
      </c>
      <c r="P211" s="35">
        <v>9540</v>
      </c>
      <c r="Q211" s="35">
        <v>9540</v>
      </c>
      <c r="R211" s="35"/>
      <c r="S211" s="58"/>
      <c r="T211" s="58"/>
    </row>
    <row r="212" spans="1:20" s="15" customFormat="1" ht="26.25" customHeight="1" x14ac:dyDescent="0.2">
      <c r="A212" s="43" t="s">
        <v>630</v>
      </c>
      <c r="B212" s="46" t="s">
        <v>26</v>
      </c>
      <c r="C212" s="44" t="s">
        <v>636</v>
      </c>
      <c r="D212" s="54" t="s">
        <v>663</v>
      </c>
      <c r="E212" s="46" t="s">
        <v>655</v>
      </c>
      <c r="F212" s="35">
        <v>12500</v>
      </c>
      <c r="G212" s="35">
        <v>12500</v>
      </c>
      <c r="H212" s="35">
        <v>0</v>
      </c>
      <c r="I212" s="35">
        <f t="shared" si="25"/>
        <v>12500</v>
      </c>
      <c r="J212" s="36">
        <f t="shared" si="26"/>
        <v>0</v>
      </c>
      <c r="K212" s="48" t="s">
        <v>14</v>
      </c>
      <c r="L212" s="48" t="s">
        <v>14</v>
      </c>
      <c r="M212" s="38">
        <v>43281</v>
      </c>
      <c r="N212" s="48"/>
      <c r="O212" s="35">
        <v>12500</v>
      </c>
      <c r="P212" s="35"/>
      <c r="Q212" s="35"/>
      <c r="R212" s="35"/>
      <c r="S212" s="58"/>
      <c r="T212" s="58"/>
    </row>
    <row r="213" spans="1:20" s="15" customFormat="1" ht="26.25" customHeight="1" x14ac:dyDescent="0.2">
      <c r="A213" s="43" t="s">
        <v>631</v>
      </c>
      <c r="B213" s="46" t="s">
        <v>214</v>
      </c>
      <c r="C213" s="44" t="s">
        <v>644</v>
      </c>
      <c r="D213" s="47">
        <v>13829</v>
      </c>
      <c r="E213" s="46" t="s">
        <v>656</v>
      </c>
      <c r="F213" s="35">
        <v>45830</v>
      </c>
      <c r="G213" s="35">
        <v>45830</v>
      </c>
      <c r="H213" s="35">
        <v>0</v>
      </c>
      <c r="I213" s="35">
        <f t="shared" si="25"/>
        <v>45830</v>
      </c>
      <c r="J213" s="36">
        <f t="shared" si="26"/>
        <v>0</v>
      </c>
      <c r="K213" s="48" t="s">
        <v>15</v>
      </c>
      <c r="L213" s="48" t="s">
        <v>15</v>
      </c>
      <c r="M213" s="38">
        <v>43312</v>
      </c>
      <c r="N213" s="48"/>
      <c r="O213" s="35">
        <v>45830</v>
      </c>
      <c r="P213" s="35"/>
      <c r="Q213" s="35"/>
      <c r="R213" s="35"/>
      <c r="S213" s="58"/>
      <c r="T213" s="58"/>
    </row>
    <row r="214" spans="1:20" s="15" customFormat="1" ht="26.25" customHeight="1" x14ac:dyDescent="0.2">
      <c r="A214" s="43" t="s">
        <v>632</v>
      </c>
      <c r="B214" s="46" t="s">
        <v>92</v>
      </c>
      <c r="C214" s="44" t="s">
        <v>645</v>
      </c>
      <c r="D214" s="54" t="s">
        <v>664</v>
      </c>
      <c r="E214" s="46" t="s">
        <v>657</v>
      </c>
      <c r="F214" s="35">
        <v>10000</v>
      </c>
      <c r="G214" s="35">
        <v>7233</v>
      </c>
      <c r="H214" s="35">
        <v>10000</v>
      </c>
      <c r="I214" s="35">
        <f t="shared" si="25"/>
        <v>17233</v>
      </c>
      <c r="J214" s="36">
        <f t="shared" si="26"/>
        <v>1.3825521913452232</v>
      </c>
      <c r="K214" s="48" t="s">
        <v>14</v>
      </c>
      <c r="L214" s="48" t="s">
        <v>14</v>
      </c>
      <c r="M214" s="38">
        <v>42916</v>
      </c>
      <c r="N214" s="48" t="s">
        <v>28</v>
      </c>
      <c r="O214" s="35">
        <v>10000</v>
      </c>
      <c r="P214" s="35"/>
      <c r="Q214" s="35"/>
      <c r="R214" s="35"/>
      <c r="S214" s="58"/>
      <c r="T214" s="58"/>
    </row>
    <row r="215" spans="1:20" s="15" customFormat="1" ht="26.25" customHeight="1" x14ac:dyDescent="0.2">
      <c r="A215" s="43" t="s">
        <v>633</v>
      </c>
      <c r="B215" s="46" t="s">
        <v>36</v>
      </c>
      <c r="C215" s="44" t="s">
        <v>646</v>
      </c>
      <c r="D215" s="47">
        <v>13986</v>
      </c>
      <c r="E215" s="46" t="s">
        <v>658</v>
      </c>
      <c r="F215" s="35">
        <v>45000</v>
      </c>
      <c r="G215" s="35">
        <v>45000</v>
      </c>
      <c r="H215" s="35"/>
      <c r="I215" s="35">
        <f t="shared" si="25"/>
        <v>45000</v>
      </c>
      <c r="J215" s="36">
        <f t="shared" si="26"/>
        <v>0</v>
      </c>
      <c r="K215" s="48" t="s">
        <v>14</v>
      </c>
      <c r="L215" s="48" t="s">
        <v>14</v>
      </c>
      <c r="M215" s="38">
        <v>43830</v>
      </c>
      <c r="N215" s="48"/>
      <c r="O215" s="35">
        <v>45000</v>
      </c>
      <c r="P215" s="35"/>
      <c r="Q215" s="35"/>
      <c r="R215" s="35"/>
      <c r="S215" s="58"/>
      <c r="T215" s="58"/>
    </row>
    <row r="216" spans="1:20" s="15" customFormat="1" ht="26.25" customHeight="1" x14ac:dyDescent="0.2">
      <c r="A216" s="43" t="s">
        <v>671</v>
      </c>
      <c r="B216" s="46" t="s">
        <v>92</v>
      </c>
      <c r="C216" s="44" t="s">
        <v>673</v>
      </c>
      <c r="D216" s="54" t="s">
        <v>675</v>
      </c>
      <c r="E216" s="46" t="s">
        <v>676</v>
      </c>
      <c r="F216" s="35">
        <v>50000</v>
      </c>
      <c r="G216" s="35">
        <f>25000+30000+25000</f>
        <v>80000</v>
      </c>
      <c r="H216" s="35">
        <v>50000</v>
      </c>
      <c r="I216" s="35">
        <f t="shared" ref="I216:I229" si="27">G216+H216</f>
        <v>130000</v>
      </c>
      <c r="J216" s="36">
        <f t="shared" ref="J216:J229" si="28">IF(G216=0,100%,(I216-G216)/G216)</f>
        <v>0.625</v>
      </c>
      <c r="K216" s="48" t="s">
        <v>14</v>
      </c>
      <c r="L216" s="48" t="s">
        <v>14</v>
      </c>
      <c r="M216" s="38">
        <v>42916</v>
      </c>
      <c r="N216" s="48" t="s">
        <v>28</v>
      </c>
      <c r="O216" s="35">
        <v>50000</v>
      </c>
      <c r="P216" s="35"/>
      <c r="Q216" s="35"/>
      <c r="R216" s="35"/>
      <c r="S216" s="58"/>
      <c r="T216" s="58"/>
    </row>
    <row r="217" spans="1:20" s="15" customFormat="1" ht="26.25" customHeight="1" x14ac:dyDescent="0.2">
      <c r="A217" s="43" t="s">
        <v>672</v>
      </c>
      <c r="B217" s="46" t="s">
        <v>92</v>
      </c>
      <c r="C217" s="44" t="s">
        <v>674</v>
      </c>
      <c r="D217" s="47">
        <v>13827</v>
      </c>
      <c r="E217" s="46" t="s">
        <v>677</v>
      </c>
      <c r="F217" s="35">
        <v>92651</v>
      </c>
      <c r="G217" s="35">
        <v>92651</v>
      </c>
      <c r="H217" s="35">
        <v>0</v>
      </c>
      <c r="I217" s="35">
        <f t="shared" si="27"/>
        <v>92651</v>
      </c>
      <c r="J217" s="36">
        <f t="shared" si="28"/>
        <v>0</v>
      </c>
      <c r="K217" s="48" t="s">
        <v>14</v>
      </c>
      <c r="L217" s="48" t="s">
        <v>15</v>
      </c>
      <c r="M217" s="38">
        <v>42916</v>
      </c>
      <c r="N217" s="48"/>
      <c r="O217" s="35">
        <v>92651</v>
      </c>
      <c r="P217" s="35"/>
      <c r="Q217" s="35"/>
      <c r="R217" s="35"/>
      <c r="S217" s="58"/>
      <c r="T217" s="58"/>
    </row>
    <row r="218" spans="1:20" s="15" customFormat="1" ht="26.25" customHeight="1" x14ac:dyDescent="0.2">
      <c r="A218" s="43" t="s">
        <v>678</v>
      </c>
      <c r="B218" s="46" t="s">
        <v>21</v>
      </c>
      <c r="C218" s="44" t="s">
        <v>684</v>
      </c>
      <c r="D218" s="47">
        <v>13388</v>
      </c>
      <c r="E218" s="46" t="s">
        <v>681</v>
      </c>
      <c r="F218" s="35">
        <f>98000*3</f>
        <v>294000</v>
      </c>
      <c r="G218" s="35">
        <f>98000*3</f>
        <v>294000</v>
      </c>
      <c r="H218" s="35">
        <v>0</v>
      </c>
      <c r="I218" s="35">
        <f t="shared" si="27"/>
        <v>294000</v>
      </c>
      <c r="J218" s="36">
        <f t="shared" si="28"/>
        <v>0</v>
      </c>
      <c r="K218" s="48" t="s">
        <v>14</v>
      </c>
      <c r="L218" s="48" t="s">
        <v>14</v>
      </c>
      <c r="M218" s="38">
        <v>42916</v>
      </c>
      <c r="N218" s="48" t="s">
        <v>18</v>
      </c>
      <c r="O218" s="35">
        <v>98000</v>
      </c>
      <c r="P218" s="35">
        <v>98000</v>
      </c>
      <c r="Q218" s="35">
        <v>98000</v>
      </c>
      <c r="R218" s="35"/>
      <c r="S218" s="58"/>
      <c r="T218" s="58"/>
    </row>
    <row r="219" spans="1:20" s="15" customFormat="1" ht="26.25" customHeight="1" x14ac:dyDescent="0.2">
      <c r="A219" s="43" t="s">
        <v>679</v>
      </c>
      <c r="B219" s="46" t="s">
        <v>26</v>
      </c>
      <c r="C219" s="44" t="s">
        <v>27</v>
      </c>
      <c r="D219" s="54" t="s">
        <v>685</v>
      </c>
      <c r="E219" s="46" t="s">
        <v>682</v>
      </c>
      <c r="F219" s="35">
        <v>65000</v>
      </c>
      <c r="G219" s="35">
        <f>5000+50000+44000+34000</f>
        <v>133000</v>
      </c>
      <c r="H219" s="35">
        <v>65000</v>
      </c>
      <c r="I219" s="35">
        <f t="shared" si="27"/>
        <v>198000</v>
      </c>
      <c r="J219" s="36">
        <f t="shared" si="28"/>
        <v>0.48872180451127817</v>
      </c>
      <c r="K219" s="48" t="s">
        <v>14</v>
      </c>
      <c r="L219" s="48" t="s">
        <v>14</v>
      </c>
      <c r="M219" s="38">
        <v>43281</v>
      </c>
      <c r="N219" s="48" t="s">
        <v>28</v>
      </c>
      <c r="O219" s="35">
        <v>65000</v>
      </c>
      <c r="P219" s="35"/>
      <c r="Q219" s="35"/>
      <c r="R219" s="35"/>
      <c r="S219" s="58"/>
      <c r="T219" s="58"/>
    </row>
    <row r="220" spans="1:20" s="15" customFormat="1" ht="26.25" customHeight="1" x14ac:dyDescent="0.2">
      <c r="A220" s="43" t="s">
        <v>680</v>
      </c>
      <c r="B220" s="46" t="s">
        <v>21</v>
      </c>
      <c r="C220" s="44" t="s">
        <v>345</v>
      </c>
      <c r="D220" s="47">
        <v>13871</v>
      </c>
      <c r="E220" s="46" t="s">
        <v>683</v>
      </c>
      <c r="F220" s="35">
        <v>72246</v>
      </c>
      <c r="G220" s="35">
        <v>72246</v>
      </c>
      <c r="H220" s="35">
        <v>0</v>
      </c>
      <c r="I220" s="35">
        <f t="shared" si="27"/>
        <v>72246</v>
      </c>
      <c r="J220" s="36">
        <f t="shared" si="28"/>
        <v>0</v>
      </c>
      <c r="K220" s="48" t="s">
        <v>14</v>
      </c>
      <c r="L220" s="48" t="s">
        <v>15</v>
      </c>
      <c r="M220" s="38">
        <v>42916</v>
      </c>
      <c r="N220" s="48"/>
      <c r="O220" s="35">
        <v>72246</v>
      </c>
      <c r="P220" s="35"/>
      <c r="Q220" s="35"/>
      <c r="R220" s="35"/>
      <c r="S220" s="58"/>
      <c r="T220" s="58"/>
    </row>
    <row r="221" spans="1:20" s="15" customFormat="1" ht="26.25" customHeight="1" x14ac:dyDescent="0.2">
      <c r="A221" s="43" t="s">
        <v>686</v>
      </c>
      <c r="B221" s="46" t="s">
        <v>21</v>
      </c>
      <c r="C221" s="44" t="s">
        <v>691</v>
      </c>
      <c r="D221" s="47">
        <v>13229</v>
      </c>
      <c r="E221" s="46" t="s">
        <v>702</v>
      </c>
      <c r="F221" s="35">
        <v>49500</v>
      </c>
      <c r="G221" s="35">
        <v>49500</v>
      </c>
      <c r="H221" s="35">
        <v>0</v>
      </c>
      <c r="I221" s="35">
        <f t="shared" si="27"/>
        <v>49500</v>
      </c>
      <c r="J221" s="36">
        <f t="shared" si="28"/>
        <v>0</v>
      </c>
      <c r="K221" s="48" t="s">
        <v>15</v>
      </c>
      <c r="L221" s="48" t="s">
        <v>15</v>
      </c>
      <c r="M221" s="38">
        <v>42958</v>
      </c>
      <c r="N221" s="48"/>
      <c r="O221" s="35">
        <v>49500</v>
      </c>
      <c r="P221" s="35"/>
      <c r="Q221" s="35"/>
      <c r="R221" s="35"/>
      <c r="S221" s="58"/>
      <c r="T221" s="58"/>
    </row>
    <row r="222" spans="1:20" s="15" customFormat="1" ht="26.25" customHeight="1" x14ac:dyDescent="0.2">
      <c r="A222" s="43" t="s">
        <v>687</v>
      </c>
      <c r="B222" s="46" t="s">
        <v>20</v>
      </c>
      <c r="C222" s="44" t="s">
        <v>692</v>
      </c>
      <c r="D222" s="47">
        <v>13814</v>
      </c>
      <c r="E222" s="46" t="s">
        <v>698</v>
      </c>
      <c r="F222" s="35">
        <f>10000*3</f>
        <v>30000</v>
      </c>
      <c r="G222" s="35">
        <f>10000*3</f>
        <v>30000</v>
      </c>
      <c r="H222" s="35">
        <v>0</v>
      </c>
      <c r="I222" s="35">
        <f t="shared" si="27"/>
        <v>30000</v>
      </c>
      <c r="J222" s="36">
        <f t="shared" si="28"/>
        <v>0</v>
      </c>
      <c r="K222" s="48" t="s">
        <v>14</v>
      </c>
      <c r="L222" s="48" t="s">
        <v>15</v>
      </c>
      <c r="M222" s="38">
        <v>42916</v>
      </c>
      <c r="N222" s="48" t="s">
        <v>18</v>
      </c>
      <c r="O222" s="35">
        <v>10000</v>
      </c>
      <c r="P222" s="35">
        <v>10000</v>
      </c>
      <c r="Q222" s="35">
        <v>10000</v>
      </c>
      <c r="R222" s="35"/>
      <c r="S222" s="58"/>
      <c r="T222" s="58"/>
    </row>
    <row r="223" spans="1:20" s="15" customFormat="1" ht="26.25" customHeight="1" x14ac:dyDescent="0.2">
      <c r="A223" s="43" t="s">
        <v>688</v>
      </c>
      <c r="B223" s="46" t="s">
        <v>17</v>
      </c>
      <c r="C223" s="44" t="s">
        <v>693</v>
      </c>
      <c r="D223" s="54" t="s">
        <v>696</v>
      </c>
      <c r="E223" s="46" t="s">
        <v>699</v>
      </c>
      <c r="F223" s="35">
        <v>5000</v>
      </c>
      <c r="G223" s="35">
        <v>25000</v>
      </c>
      <c r="H223" s="35">
        <v>5000</v>
      </c>
      <c r="I223" s="35">
        <f t="shared" si="27"/>
        <v>30000</v>
      </c>
      <c r="J223" s="36">
        <f t="shared" si="28"/>
        <v>0.2</v>
      </c>
      <c r="K223" s="48" t="s">
        <v>14</v>
      </c>
      <c r="L223" s="48" t="s">
        <v>14</v>
      </c>
      <c r="M223" s="38">
        <v>42916</v>
      </c>
      <c r="N223" s="48" t="s">
        <v>28</v>
      </c>
      <c r="O223" s="35">
        <v>5000</v>
      </c>
      <c r="P223" s="35"/>
      <c r="Q223" s="35"/>
      <c r="R223" s="35"/>
      <c r="S223" s="58"/>
      <c r="T223" s="58"/>
    </row>
    <row r="224" spans="1:20" s="15" customFormat="1" ht="26.25" customHeight="1" x14ac:dyDescent="0.2">
      <c r="A224" s="43" t="s">
        <v>689</v>
      </c>
      <c r="B224" s="46" t="s">
        <v>474</v>
      </c>
      <c r="C224" s="44" t="s">
        <v>694</v>
      </c>
      <c r="D224" s="54" t="s">
        <v>697</v>
      </c>
      <c r="E224" s="46" t="s">
        <v>700</v>
      </c>
      <c r="F224" s="35">
        <v>44500</v>
      </c>
      <c r="G224" s="35">
        <v>44500</v>
      </c>
      <c r="H224" s="35">
        <v>0</v>
      </c>
      <c r="I224" s="35">
        <f t="shared" si="27"/>
        <v>44500</v>
      </c>
      <c r="J224" s="36">
        <f t="shared" si="28"/>
        <v>0</v>
      </c>
      <c r="K224" s="48" t="s">
        <v>14</v>
      </c>
      <c r="L224" s="48" t="s">
        <v>14</v>
      </c>
      <c r="M224" s="38">
        <v>42916</v>
      </c>
      <c r="N224" s="48"/>
      <c r="O224" s="35">
        <v>44500</v>
      </c>
      <c r="P224" s="35"/>
      <c r="Q224" s="35"/>
      <c r="R224" s="35"/>
      <c r="S224" s="58"/>
      <c r="T224" s="58"/>
    </row>
    <row r="225" spans="1:20" s="15" customFormat="1" ht="26.25" customHeight="1" x14ac:dyDescent="0.2">
      <c r="A225" s="43" t="s">
        <v>690</v>
      </c>
      <c r="B225" s="46" t="s">
        <v>20</v>
      </c>
      <c r="C225" s="44" t="s">
        <v>695</v>
      </c>
      <c r="D225" s="47">
        <v>13899</v>
      </c>
      <c r="E225" s="46" t="s">
        <v>701</v>
      </c>
      <c r="F225" s="35">
        <f>10000*3</f>
        <v>30000</v>
      </c>
      <c r="G225" s="35">
        <f>10000*3</f>
        <v>30000</v>
      </c>
      <c r="H225" s="35">
        <v>0</v>
      </c>
      <c r="I225" s="35">
        <f t="shared" si="27"/>
        <v>30000</v>
      </c>
      <c r="J225" s="36">
        <f t="shared" si="28"/>
        <v>0</v>
      </c>
      <c r="K225" s="48" t="s">
        <v>14</v>
      </c>
      <c r="L225" s="48" t="s">
        <v>14</v>
      </c>
      <c r="M225" s="38">
        <v>42916</v>
      </c>
      <c r="N225" s="48" t="s">
        <v>18</v>
      </c>
      <c r="O225" s="35">
        <v>10000</v>
      </c>
      <c r="P225" s="35">
        <v>10000</v>
      </c>
      <c r="Q225" s="35">
        <v>10000</v>
      </c>
      <c r="R225" s="35"/>
      <c r="S225" s="58"/>
      <c r="T225" s="58"/>
    </row>
    <row r="226" spans="1:20" s="15" customFormat="1" ht="26.25" customHeight="1" x14ac:dyDescent="0.2">
      <c r="A226" s="43" t="s">
        <v>703</v>
      </c>
      <c r="B226" s="46" t="s">
        <v>19</v>
      </c>
      <c r="C226" s="44" t="s">
        <v>713</v>
      </c>
      <c r="D226" s="47">
        <v>13624</v>
      </c>
      <c r="E226" s="46" t="s">
        <v>720</v>
      </c>
      <c r="F226" s="35">
        <v>17915</v>
      </c>
      <c r="G226" s="35">
        <v>17915</v>
      </c>
      <c r="H226" s="35">
        <v>0</v>
      </c>
      <c r="I226" s="35">
        <f t="shared" si="27"/>
        <v>17915</v>
      </c>
      <c r="J226" s="36">
        <f t="shared" si="28"/>
        <v>0</v>
      </c>
      <c r="K226" s="48" t="s">
        <v>14</v>
      </c>
      <c r="L226" s="48" t="s">
        <v>14</v>
      </c>
      <c r="M226" s="38">
        <v>42659</v>
      </c>
      <c r="N226" s="48"/>
      <c r="O226" s="35">
        <v>17915</v>
      </c>
      <c r="P226" s="35"/>
      <c r="Q226" s="35"/>
      <c r="R226" s="35"/>
      <c r="S226" s="58"/>
      <c r="T226" s="58"/>
    </row>
    <row r="227" spans="1:20" s="15" customFormat="1" ht="26.25" customHeight="1" x14ac:dyDescent="0.2">
      <c r="A227" s="43" t="s">
        <v>704</v>
      </c>
      <c r="B227" s="46" t="s">
        <v>19</v>
      </c>
      <c r="C227" s="44" t="s">
        <v>589</v>
      </c>
      <c r="D227" s="47">
        <v>13629</v>
      </c>
      <c r="E227" s="46" t="s">
        <v>721</v>
      </c>
      <c r="F227" s="35">
        <v>38950</v>
      </c>
      <c r="G227" s="35">
        <v>38950</v>
      </c>
      <c r="H227" s="35">
        <v>0</v>
      </c>
      <c r="I227" s="35">
        <f t="shared" si="27"/>
        <v>38950</v>
      </c>
      <c r="J227" s="36">
        <f t="shared" si="28"/>
        <v>0</v>
      </c>
      <c r="K227" s="48" t="s">
        <v>14</v>
      </c>
      <c r="L227" s="48" t="s">
        <v>14</v>
      </c>
      <c r="M227" s="38">
        <v>42659</v>
      </c>
      <c r="N227" s="48"/>
      <c r="O227" s="35">
        <v>38950</v>
      </c>
      <c r="P227" s="35"/>
      <c r="Q227" s="35"/>
      <c r="R227" s="35"/>
      <c r="S227" s="58"/>
      <c r="T227" s="58"/>
    </row>
    <row r="228" spans="1:20" s="15" customFormat="1" ht="26.25" customHeight="1" x14ac:dyDescent="0.2">
      <c r="A228" s="43" t="s">
        <v>705</v>
      </c>
      <c r="B228" s="46" t="s">
        <v>19</v>
      </c>
      <c r="C228" s="44" t="s">
        <v>714</v>
      </c>
      <c r="D228" s="47">
        <v>13856</v>
      </c>
      <c r="E228" s="46" t="s">
        <v>722</v>
      </c>
      <c r="F228" s="35">
        <v>20000</v>
      </c>
      <c r="G228" s="35">
        <v>20000</v>
      </c>
      <c r="H228" s="35">
        <v>0</v>
      </c>
      <c r="I228" s="35">
        <f t="shared" si="27"/>
        <v>20000</v>
      </c>
      <c r="J228" s="36">
        <f t="shared" si="28"/>
        <v>0</v>
      </c>
      <c r="K228" s="48" t="s">
        <v>14</v>
      </c>
      <c r="L228" s="48" t="s">
        <v>14</v>
      </c>
      <c r="M228" s="38">
        <v>42752</v>
      </c>
      <c r="N228" s="48"/>
      <c r="O228" s="35">
        <v>20000</v>
      </c>
      <c r="P228" s="35"/>
      <c r="Q228" s="35"/>
      <c r="R228" s="35"/>
      <c r="S228" s="58"/>
      <c r="T228" s="58"/>
    </row>
    <row r="229" spans="1:20" s="15" customFormat="1" ht="26.25" customHeight="1" x14ac:dyDescent="0.2">
      <c r="A229" s="43" t="s">
        <v>706</v>
      </c>
      <c r="B229" s="46" t="s">
        <v>214</v>
      </c>
      <c r="C229" s="44" t="s">
        <v>715</v>
      </c>
      <c r="D229" s="47">
        <v>13859</v>
      </c>
      <c r="E229" s="46" t="s">
        <v>723</v>
      </c>
      <c r="F229" s="35">
        <v>49000</v>
      </c>
      <c r="G229" s="35">
        <v>49000</v>
      </c>
      <c r="H229" s="35">
        <v>0</v>
      </c>
      <c r="I229" s="35">
        <f t="shared" si="27"/>
        <v>49000</v>
      </c>
      <c r="J229" s="36">
        <f t="shared" si="28"/>
        <v>0</v>
      </c>
      <c r="K229" s="48" t="s">
        <v>14</v>
      </c>
      <c r="L229" s="48" t="s">
        <v>14</v>
      </c>
      <c r="M229" s="38">
        <v>43100</v>
      </c>
      <c r="N229" s="48"/>
      <c r="O229" s="35">
        <v>49000</v>
      </c>
      <c r="P229" s="35"/>
      <c r="Q229" s="35"/>
      <c r="R229" s="35"/>
      <c r="S229" s="58"/>
      <c r="T229" s="58"/>
    </row>
    <row r="230" spans="1:20" s="15" customFormat="1" ht="26.25" customHeight="1" x14ac:dyDescent="0.2">
      <c r="A230" s="43" t="s">
        <v>707</v>
      </c>
      <c r="B230" s="46" t="s">
        <v>19</v>
      </c>
      <c r="C230" s="44" t="s">
        <v>716</v>
      </c>
      <c r="D230" s="47">
        <v>13862</v>
      </c>
      <c r="E230" s="46" t="s">
        <v>724</v>
      </c>
      <c r="F230" s="35">
        <v>18128</v>
      </c>
      <c r="G230" s="35">
        <v>18128</v>
      </c>
      <c r="H230" s="35">
        <v>0</v>
      </c>
      <c r="I230" s="35">
        <f t="shared" ref="I230:I236" si="29">G230+H230</f>
        <v>18128</v>
      </c>
      <c r="J230" s="36">
        <f t="shared" ref="J230:J236" si="30">IF(G230=0,100%,(I230-G230)/G230)</f>
        <v>0</v>
      </c>
      <c r="K230" s="48" t="s">
        <v>14</v>
      </c>
      <c r="L230" s="48" t="s">
        <v>14</v>
      </c>
      <c r="M230" s="38">
        <v>42752</v>
      </c>
      <c r="N230" s="48"/>
      <c r="O230" s="35">
        <v>18128</v>
      </c>
      <c r="P230" s="35"/>
      <c r="Q230" s="35"/>
      <c r="R230" s="35"/>
      <c r="S230" s="58"/>
      <c r="T230" s="58"/>
    </row>
    <row r="231" spans="1:20" s="15" customFormat="1" ht="26.25" customHeight="1" x14ac:dyDescent="0.2">
      <c r="A231" s="43" t="s">
        <v>708</v>
      </c>
      <c r="B231" s="46" t="s">
        <v>92</v>
      </c>
      <c r="C231" s="44" t="s">
        <v>82</v>
      </c>
      <c r="D231" s="47">
        <v>13863</v>
      </c>
      <c r="E231" s="46" t="s">
        <v>725</v>
      </c>
      <c r="F231" s="35">
        <v>21839</v>
      </c>
      <c r="G231" s="35">
        <v>21839</v>
      </c>
      <c r="H231" s="35">
        <v>0</v>
      </c>
      <c r="I231" s="35">
        <f t="shared" si="29"/>
        <v>21839</v>
      </c>
      <c r="J231" s="36">
        <f t="shared" si="30"/>
        <v>0</v>
      </c>
      <c r="K231" s="48" t="s">
        <v>14</v>
      </c>
      <c r="L231" s="48" t="s">
        <v>15</v>
      </c>
      <c r="M231" s="38">
        <v>42916</v>
      </c>
      <c r="N231" s="48"/>
      <c r="O231" s="35">
        <v>21839</v>
      </c>
      <c r="P231" s="35"/>
      <c r="Q231" s="35"/>
      <c r="R231" s="35"/>
      <c r="S231" s="58"/>
      <c r="T231" s="58"/>
    </row>
    <row r="232" spans="1:20" s="15" customFormat="1" ht="26.25" customHeight="1" x14ac:dyDescent="0.2">
      <c r="A232" s="43" t="s">
        <v>709</v>
      </c>
      <c r="B232" s="46" t="s">
        <v>21</v>
      </c>
      <c r="C232" s="44" t="s">
        <v>262</v>
      </c>
      <c r="D232" s="47">
        <v>13866</v>
      </c>
      <c r="E232" s="46" t="s">
        <v>726</v>
      </c>
      <c r="F232" s="35">
        <v>30000</v>
      </c>
      <c r="G232" s="35">
        <v>30000</v>
      </c>
      <c r="H232" s="35">
        <v>0</v>
      </c>
      <c r="I232" s="35">
        <f t="shared" si="29"/>
        <v>30000</v>
      </c>
      <c r="J232" s="36">
        <f t="shared" si="30"/>
        <v>0</v>
      </c>
      <c r="K232" s="48" t="s">
        <v>14</v>
      </c>
      <c r="L232" s="48" t="s">
        <v>14</v>
      </c>
      <c r="M232" s="38">
        <v>42916</v>
      </c>
      <c r="N232" s="48"/>
      <c r="O232" s="35">
        <v>30000</v>
      </c>
      <c r="P232" s="35"/>
      <c r="Q232" s="35"/>
      <c r="R232" s="35"/>
      <c r="S232" s="58"/>
      <c r="T232" s="58"/>
    </row>
    <row r="233" spans="1:20" s="15" customFormat="1" ht="26.25" customHeight="1" x14ac:dyDescent="0.2">
      <c r="A233" s="43" t="s">
        <v>710</v>
      </c>
      <c r="B233" s="46" t="s">
        <v>30</v>
      </c>
      <c r="C233" s="44" t="s">
        <v>717</v>
      </c>
      <c r="D233" s="47">
        <v>13906</v>
      </c>
      <c r="E233" s="46" t="s">
        <v>727</v>
      </c>
      <c r="F233" s="35">
        <v>25000</v>
      </c>
      <c r="G233" s="35">
        <v>25000</v>
      </c>
      <c r="H233" s="35">
        <v>0</v>
      </c>
      <c r="I233" s="35">
        <f t="shared" si="29"/>
        <v>25000</v>
      </c>
      <c r="J233" s="36">
        <f t="shared" si="30"/>
        <v>0</v>
      </c>
      <c r="K233" s="48" t="s">
        <v>14</v>
      </c>
      <c r="L233" s="48" t="s">
        <v>14</v>
      </c>
      <c r="M233" s="38">
        <v>43112</v>
      </c>
      <c r="N233" s="48"/>
      <c r="O233" s="35">
        <v>25000</v>
      </c>
      <c r="P233" s="35"/>
      <c r="Q233" s="35"/>
      <c r="R233" s="35"/>
      <c r="S233" s="58"/>
      <c r="T233" s="58"/>
    </row>
    <row r="234" spans="1:20" s="15" customFormat="1" ht="26.25" customHeight="1" x14ac:dyDescent="0.2">
      <c r="A234" s="43" t="s">
        <v>711</v>
      </c>
      <c r="B234" s="46" t="s">
        <v>69</v>
      </c>
      <c r="C234" s="44" t="s">
        <v>718</v>
      </c>
      <c r="D234" s="47">
        <v>13921</v>
      </c>
      <c r="E234" s="46" t="s">
        <v>728</v>
      </c>
      <c r="F234" s="35">
        <f>30999*3</f>
        <v>92997</v>
      </c>
      <c r="G234" s="35">
        <f>30999*3</f>
        <v>92997</v>
      </c>
      <c r="H234" s="35">
        <v>0</v>
      </c>
      <c r="I234" s="35">
        <f t="shared" si="29"/>
        <v>92997</v>
      </c>
      <c r="J234" s="36">
        <f t="shared" si="30"/>
        <v>0</v>
      </c>
      <c r="K234" s="48" t="s">
        <v>14</v>
      </c>
      <c r="L234" s="48" t="s">
        <v>14</v>
      </c>
      <c r="M234" s="38">
        <v>42910</v>
      </c>
      <c r="N234" s="48" t="s">
        <v>18</v>
      </c>
      <c r="O234" s="35">
        <v>30999</v>
      </c>
      <c r="P234" s="35">
        <v>30999</v>
      </c>
      <c r="Q234" s="35">
        <v>30999</v>
      </c>
      <c r="R234" s="35"/>
      <c r="S234" s="58"/>
      <c r="T234" s="58"/>
    </row>
    <row r="235" spans="1:20" s="15" customFormat="1" ht="26.25" customHeight="1" x14ac:dyDescent="0.2">
      <c r="A235" s="43" t="s">
        <v>712</v>
      </c>
      <c r="B235" s="46" t="s">
        <v>19</v>
      </c>
      <c r="C235" s="44" t="s">
        <v>719</v>
      </c>
      <c r="D235" s="47">
        <v>13946</v>
      </c>
      <c r="E235" s="46" t="s">
        <v>729</v>
      </c>
      <c r="F235" s="35">
        <v>6000</v>
      </c>
      <c r="G235" s="35">
        <v>6000</v>
      </c>
      <c r="H235" s="35">
        <v>0</v>
      </c>
      <c r="I235" s="35">
        <f t="shared" si="29"/>
        <v>6000</v>
      </c>
      <c r="J235" s="36">
        <f t="shared" si="30"/>
        <v>0</v>
      </c>
      <c r="K235" s="48" t="s">
        <v>14</v>
      </c>
      <c r="L235" s="48" t="s">
        <v>14</v>
      </c>
      <c r="M235" s="38">
        <v>42777</v>
      </c>
      <c r="N235" s="48"/>
      <c r="O235" s="35">
        <v>6000</v>
      </c>
      <c r="P235" s="35"/>
      <c r="Q235" s="35"/>
      <c r="R235" s="35"/>
      <c r="S235" s="58"/>
      <c r="T235" s="58"/>
    </row>
    <row r="236" spans="1:20" s="15" customFormat="1" ht="26.25" customHeight="1" x14ac:dyDescent="0.2">
      <c r="A236" s="43" t="s">
        <v>730</v>
      </c>
      <c r="B236" s="46" t="s">
        <v>19</v>
      </c>
      <c r="C236" s="44" t="s">
        <v>529</v>
      </c>
      <c r="D236" s="47">
        <v>13631</v>
      </c>
      <c r="E236" s="46" t="s">
        <v>745</v>
      </c>
      <c r="F236" s="35">
        <v>80000</v>
      </c>
      <c r="G236" s="35">
        <v>80000</v>
      </c>
      <c r="H236" s="35">
        <v>0</v>
      </c>
      <c r="I236" s="35">
        <f t="shared" si="29"/>
        <v>80000</v>
      </c>
      <c r="J236" s="36">
        <f t="shared" si="30"/>
        <v>0</v>
      </c>
      <c r="K236" s="48" t="s">
        <v>14</v>
      </c>
      <c r="L236" s="48" t="s">
        <v>14</v>
      </c>
      <c r="M236" s="38">
        <v>42659</v>
      </c>
      <c r="N236" s="48"/>
      <c r="O236" s="35">
        <v>80000</v>
      </c>
      <c r="P236" s="35"/>
      <c r="Q236" s="35"/>
      <c r="R236" s="35"/>
      <c r="S236" s="58"/>
      <c r="T236" s="58"/>
    </row>
    <row r="237" spans="1:20" s="15" customFormat="1" ht="26.25" customHeight="1" x14ac:dyDescent="0.2">
      <c r="A237" s="43" t="s">
        <v>731</v>
      </c>
      <c r="B237" s="46" t="s">
        <v>69</v>
      </c>
      <c r="C237" s="44" t="s">
        <v>578</v>
      </c>
      <c r="D237" s="47">
        <v>13771</v>
      </c>
      <c r="E237" s="46" t="s">
        <v>746</v>
      </c>
      <c r="F237" s="35">
        <f>52440+55000+58000</f>
        <v>165440</v>
      </c>
      <c r="G237" s="35">
        <f>52440+55000+58000</f>
        <v>165440</v>
      </c>
      <c r="H237" s="35">
        <v>0</v>
      </c>
      <c r="I237" s="35">
        <f t="shared" ref="I237:I243" si="31">G237+H237</f>
        <v>165440</v>
      </c>
      <c r="J237" s="36">
        <f t="shared" ref="J237:J243" si="32">IF(G237=0,100%,(I237-G237)/G237)</f>
        <v>0</v>
      </c>
      <c r="K237" s="48" t="s">
        <v>14</v>
      </c>
      <c r="L237" s="48" t="s">
        <v>14</v>
      </c>
      <c r="M237" s="38">
        <v>43085</v>
      </c>
      <c r="N237" s="48" t="s">
        <v>18</v>
      </c>
      <c r="O237" s="35">
        <v>52440</v>
      </c>
      <c r="P237" s="35">
        <v>55000</v>
      </c>
      <c r="Q237" s="35">
        <v>58000</v>
      </c>
      <c r="R237" s="35"/>
      <c r="S237" s="58"/>
      <c r="T237" s="58"/>
    </row>
    <row r="238" spans="1:20" s="15" customFormat="1" ht="26.25" customHeight="1" x14ac:dyDescent="0.2">
      <c r="A238" s="43" t="s">
        <v>732</v>
      </c>
      <c r="B238" s="46" t="s">
        <v>30</v>
      </c>
      <c r="C238" s="44" t="s">
        <v>739</v>
      </c>
      <c r="D238" s="54" t="s">
        <v>743</v>
      </c>
      <c r="E238" s="46" t="s">
        <v>747</v>
      </c>
      <c r="F238" s="35">
        <v>38180</v>
      </c>
      <c r="G238" s="35">
        <v>46850</v>
      </c>
      <c r="H238" s="35">
        <v>38180</v>
      </c>
      <c r="I238" s="35">
        <f t="shared" si="31"/>
        <v>85030</v>
      </c>
      <c r="J238" s="36">
        <f t="shared" si="32"/>
        <v>0.81494130202774817</v>
      </c>
      <c r="K238" s="48" t="s">
        <v>14</v>
      </c>
      <c r="L238" s="48" t="s">
        <v>14</v>
      </c>
      <c r="M238" s="38">
        <v>42825</v>
      </c>
      <c r="N238" s="48" t="s">
        <v>28</v>
      </c>
      <c r="O238" s="35">
        <v>38180</v>
      </c>
      <c r="P238" s="35"/>
      <c r="Q238" s="35"/>
      <c r="R238" s="35"/>
      <c r="S238" s="58"/>
      <c r="T238" s="58"/>
    </row>
    <row r="239" spans="1:20" s="15" customFormat="1" ht="26.25" customHeight="1" x14ac:dyDescent="0.2">
      <c r="A239" s="43" t="s">
        <v>733</v>
      </c>
      <c r="B239" s="46" t="s">
        <v>26</v>
      </c>
      <c r="C239" s="44" t="s">
        <v>740</v>
      </c>
      <c r="D239" s="54" t="s">
        <v>744</v>
      </c>
      <c r="E239" s="46" t="s">
        <v>748</v>
      </c>
      <c r="F239" s="35">
        <v>25000</v>
      </c>
      <c r="G239" s="35">
        <v>50000</v>
      </c>
      <c r="H239" s="35">
        <v>25000</v>
      </c>
      <c r="I239" s="35">
        <f t="shared" si="31"/>
        <v>75000</v>
      </c>
      <c r="J239" s="36">
        <f t="shared" si="32"/>
        <v>0.5</v>
      </c>
      <c r="K239" s="48" t="s">
        <v>14</v>
      </c>
      <c r="L239" s="48" t="s">
        <v>14</v>
      </c>
      <c r="M239" s="38">
        <v>43281</v>
      </c>
      <c r="N239" s="48" t="s">
        <v>28</v>
      </c>
      <c r="O239" s="35">
        <v>25000</v>
      </c>
      <c r="P239" s="35"/>
      <c r="Q239" s="35"/>
      <c r="R239" s="35"/>
      <c r="S239" s="58"/>
      <c r="T239" s="58"/>
    </row>
    <row r="240" spans="1:20" s="15" customFormat="1" ht="26.25" customHeight="1" x14ac:dyDescent="0.2">
      <c r="A240" s="43" t="s">
        <v>734</v>
      </c>
      <c r="B240" s="46" t="s">
        <v>21</v>
      </c>
      <c r="C240" s="44" t="s">
        <v>511</v>
      </c>
      <c r="D240" s="47">
        <v>13883</v>
      </c>
      <c r="E240" s="46" t="s">
        <v>751</v>
      </c>
      <c r="F240" s="35">
        <f>90000*3</f>
        <v>270000</v>
      </c>
      <c r="G240" s="35">
        <f>90000*3</f>
        <v>270000</v>
      </c>
      <c r="H240" s="35">
        <v>0</v>
      </c>
      <c r="I240" s="35">
        <f t="shared" si="31"/>
        <v>270000</v>
      </c>
      <c r="J240" s="36">
        <f t="shared" si="32"/>
        <v>0</v>
      </c>
      <c r="K240" s="48" t="s">
        <v>15</v>
      </c>
      <c r="L240" s="48" t="s">
        <v>15</v>
      </c>
      <c r="M240" s="38">
        <v>43190</v>
      </c>
      <c r="N240" s="48" t="s">
        <v>18</v>
      </c>
      <c r="O240" s="35">
        <v>90000</v>
      </c>
      <c r="P240" s="35">
        <v>90000</v>
      </c>
      <c r="Q240" s="35">
        <v>90000</v>
      </c>
      <c r="R240" s="35"/>
      <c r="S240" s="58"/>
      <c r="T240" s="58"/>
    </row>
    <row r="241" spans="1:20" s="15" customFormat="1" ht="18" customHeight="1" x14ac:dyDescent="0.2">
      <c r="A241" s="43" t="s">
        <v>735</v>
      </c>
      <c r="B241" s="46" t="s">
        <v>21</v>
      </c>
      <c r="C241" s="44" t="s">
        <v>741</v>
      </c>
      <c r="D241" s="47">
        <v>13889</v>
      </c>
      <c r="E241" s="46" t="s">
        <v>749</v>
      </c>
      <c r="F241" s="35">
        <f>50000*3</f>
        <v>150000</v>
      </c>
      <c r="G241" s="35">
        <f>50000*3</f>
        <v>150000</v>
      </c>
      <c r="H241" s="35">
        <v>0</v>
      </c>
      <c r="I241" s="35">
        <f t="shared" si="31"/>
        <v>150000</v>
      </c>
      <c r="J241" s="36">
        <f t="shared" si="32"/>
        <v>0</v>
      </c>
      <c r="K241" s="48" t="s">
        <v>14</v>
      </c>
      <c r="L241" s="48" t="s">
        <v>14</v>
      </c>
      <c r="M241" s="38">
        <v>42916</v>
      </c>
      <c r="N241" s="48" t="s">
        <v>18</v>
      </c>
      <c r="O241" s="35">
        <v>50000</v>
      </c>
      <c r="P241" s="35">
        <v>50000</v>
      </c>
      <c r="Q241" s="35">
        <v>50000</v>
      </c>
      <c r="R241" s="35"/>
      <c r="S241" s="58"/>
      <c r="T241" s="58"/>
    </row>
    <row r="242" spans="1:20" s="15" customFormat="1" ht="26.25" customHeight="1" x14ac:dyDescent="0.2">
      <c r="A242" s="43" t="s">
        <v>736</v>
      </c>
      <c r="B242" s="46" t="s">
        <v>738</v>
      </c>
      <c r="C242" s="44" t="s">
        <v>742</v>
      </c>
      <c r="D242" s="47">
        <v>13992</v>
      </c>
      <c r="E242" s="46" t="s">
        <v>750</v>
      </c>
      <c r="F242" s="35">
        <v>96000</v>
      </c>
      <c r="G242" s="35">
        <v>96000</v>
      </c>
      <c r="H242" s="35">
        <v>0</v>
      </c>
      <c r="I242" s="35">
        <f t="shared" si="31"/>
        <v>96000</v>
      </c>
      <c r="J242" s="36">
        <f t="shared" si="32"/>
        <v>0</v>
      </c>
      <c r="K242" s="48" t="s">
        <v>14</v>
      </c>
      <c r="L242" s="48" t="s">
        <v>14</v>
      </c>
      <c r="M242" s="38">
        <v>43099</v>
      </c>
      <c r="N242" s="48"/>
      <c r="O242" s="35">
        <v>96000</v>
      </c>
      <c r="P242" s="35"/>
      <c r="Q242" s="35"/>
      <c r="R242" s="35"/>
      <c r="S242" s="58"/>
      <c r="T242" s="58"/>
    </row>
    <row r="243" spans="1:20" s="15" customFormat="1" ht="26.25" customHeight="1" x14ac:dyDescent="0.2">
      <c r="A243" s="43" t="s">
        <v>737</v>
      </c>
      <c r="B243" s="46" t="s">
        <v>69</v>
      </c>
      <c r="C243" s="44" t="s">
        <v>507</v>
      </c>
      <c r="D243" s="47">
        <v>13993</v>
      </c>
      <c r="E243" s="46" t="s">
        <v>752</v>
      </c>
      <c r="F243" s="35">
        <f>12750+13000+14000</f>
        <v>39750</v>
      </c>
      <c r="G243" s="35">
        <f>12750+13000+14000</f>
        <v>39750</v>
      </c>
      <c r="H243" s="35">
        <v>0</v>
      </c>
      <c r="I243" s="35">
        <f t="shared" si="31"/>
        <v>39750</v>
      </c>
      <c r="J243" s="36">
        <f t="shared" si="32"/>
        <v>0</v>
      </c>
      <c r="K243" s="48" t="s">
        <v>14</v>
      </c>
      <c r="L243" s="48" t="s">
        <v>14</v>
      </c>
      <c r="M243" s="38">
        <v>42673</v>
      </c>
      <c r="N243" s="48" t="s">
        <v>18</v>
      </c>
      <c r="O243" s="35">
        <v>12750</v>
      </c>
      <c r="P243" s="35">
        <v>13000</v>
      </c>
      <c r="Q243" s="35">
        <v>14000</v>
      </c>
      <c r="R243" s="35"/>
      <c r="S243" s="58"/>
      <c r="T243" s="58"/>
    </row>
    <row r="244" spans="1:20" s="15" customFormat="1" ht="26.25" customHeight="1" x14ac:dyDescent="0.2">
      <c r="A244" s="43" t="s">
        <v>753</v>
      </c>
      <c r="B244" s="46" t="s">
        <v>35</v>
      </c>
      <c r="C244" s="44" t="s">
        <v>400</v>
      </c>
      <c r="D244" s="47">
        <v>13898</v>
      </c>
      <c r="E244" s="46" t="s">
        <v>402</v>
      </c>
      <c r="F244" s="35">
        <v>18000</v>
      </c>
      <c r="G244" s="35">
        <v>18000</v>
      </c>
      <c r="H244" s="35">
        <v>0</v>
      </c>
      <c r="I244" s="35">
        <f t="shared" ref="I244:I257" si="33">G244+H244</f>
        <v>18000</v>
      </c>
      <c r="J244" s="36">
        <f t="shared" ref="J244:J257" si="34">IF(G244=0,100%,(I244-G244)/G244)</f>
        <v>0</v>
      </c>
      <c r="K244" s="48" t="s">
        <v>15</v>
      </c>
      <c r="L244" s="48" t="s">
        <v>15</v>
      </c>
      <c r="M244" s="38">
        <v>43191</v>
      </c>
      <c r="N244" s="48"/>
      <c r="O244" s="35">
        <v>18000</v>
      </c>
      <c r="P244" s="35"/>
      <c r="Q244" s="35"/>
      <c r="R244" s="35"/>
      <c r="S244" s="58"/>
      <c r="T244" s="58"/>
    </row>
    <row r="245" spans="1:20" s="15" customFormat="1" ht="26.25" customHeight="1" x14ac:dyDescent="0.2">
      <c r="A245" s="43" t="s">
        <v>754</v>
      </c>
      <c r="B245" s="46" t="s">
        <v>19</v>
      </c>
      <c r="C245" s="44" t="s">
        <v>768</v>
      </c>
      <c r="D245" s="47">
        <v>14044</v>
      </c>
      <c r="E245" s="46" t="s">
        <v>779</v>
      </c>
      <c r="F245" s="35">
        <v>25000</v>
      </c>
      <c r="G245" s="35">
        <v>25000</v>
      </c>
      <c r="H245" s="35">
        <v>0</v>
      </c>
      <c r="I245" s="35">
        <f t="shared" si="33"/>
        <v>25000</v>
      </c>
      <c r="J245" s="36">
        <f t="shared" si="34"/>
        <v>0</v>
      </c>
      <c r="K245" s="48" t="s">
        <v>14</v>
      </c>
      <c r="L245" s="48" t="s">
        <v>14</v>
      </c>
      <c r="M245" s="38">
        <v>42916</v>
      </c>
      <c r="N245" s="48"/>
      <c r="O245" s="35">
        <v>25000</v>
      </c>
      <c r="P245" s="35"/>
      <c r="Q245" s="35"/>
      <c r="R245" s="35"/>
      <c r="S245" s="58"/>
      <c r="T245" s="58"/>
    </row>
    <row r="246" spans="1:20" s="15" customFormat="1" ht="26.25" customHeight="1" x14ac:dyDescent="0.2">
      <c r="A246" s="43" t="s">
        <v>755</v>
      </c>
      <c r="B246" s="46" t="s">
        <v>766</v>
      </c>
      <c r="C246" s="44" t="s">
        <v>769</v>
      </c>
      <c r="D246" s="47">
        <v>13952</v>
      </c>
      <c r="E246" s="46" t="s">
        <v>780</v>
      </c>
      <c r="F246" s="35">
        <v>6250</v>
      </c>
      <c r="G246" s="35">
        <v>6250</v>
      </c>
      <c r="H246" s="35">
        <v>0</v>
      </c>
      <c r="I246" s="35">
        <f t="shared" si="33"/>
        <v>6250</v>
      </c>
      <c r="J246" s="36">
        <f t="shared" si="34"/>
        <v>0</v>
      </c>
      <c r="K246" s="48" t="s">
        <v>14</v>
      </c>
      <c r="L246" s="48" t="s">
        <v>14</v>
      </c>
      <c r="M246" s="38">
        <v>42916</v>
      </c>
      <c r="N246" s="48"/>
      <c r="O246" s="35">
        <v>6250</v>
      </c>
      <c r="P246" s="35"/>
      <c r="Q246" s="35"/>
      <c r="R246" s="35"/>
      <c r="S246" s="58"/>
      <c r="T246" s="58"/>
    </row>
    <row r="247" spans="1:20" s="15" customFormat="1" ht="26.25" customHeight="1" x14ac:dyDescent="0.2">
      <c r="A247" s="43" t="s">
        <v>756</v>
      </c>
      <c r="B247" s="46" t="s">
        <v>69</v>
      </c>
      <c r="C247" s="44" t="s">
        <v>770</v>
      </c>
      <c r="D247" s="54" t="s">
        <v>777</v>
      </c>
      <c r="E247" s="46" t="s">
        <v>781</v>
      </c>
      <c r="F247" s="35">
        <f>702+5400+5400</f>
        <v>11502</v>
      </c>
      <c r="G247" s="35">
        <v>4698</v>
      </c>
      <c r="H247" s="35">
        <f>702+5400+5400</f>
        <v>11502</v>
      </c>
      <c r="I247" s="35">
        <f t="shared" si="33"/>
        <v>16200</v>
      </c>
      <c r="J247" s="36">
        <f t="shared" si="34"/>
        <v>2.4482758620689653</v>
      </c>
      <c r="K247" s="48" t="s">
        <v>14</v>
      </c>
      <c r="L247" s="48" t="s">
        <v>14</v>
      </c>
      <c r="M247" s="38">
        <v>43100</v>
      </c>
      <c r="N247" s="48" t="s">
        <v>28</v>
      </c>
      <c r="O247" s="35">
        <v>702</v>
      </c>
      <c r="P247" s="35">
        <v>5400</v>
      </c>
      <c r="Q247" s="35">
        <v>5400</v>
      </c>
      <c r="R247" s="35"/>
      <c r="S247" s="58"/>
      <c r="T247" s="58"/>
    </row>
    <row r="248" spans="1:20" s="15" customFormat="1" ht="26.25" customHeight="1" x14ac:dyDescent="0.2">
      <c r="A248" s="43" t="s">
        <v>757</v>
      </c>
      <c r="B248" s="46" t="s">
        <v>19</v>
      </c>
      <c r="C248" s="44" t="s">
        <v>771</v>
      </c>
      <c r="D248" s="54" t="s">
        <v>778</v>
      </c>
      <c r="E248" s="46" t="s">
        <v>782</v>
      </c>
      <c r="F248" s="35">
        <v>3050</v>
      </c>
      <c r="G248" s="35">
        <v>7084</v>
      </c>
      <c r="H248" s="35">
        <v>3050</v>
      </c>
      <c r="I248" s="35">
        <f t="shared" si="33"/>
        <v>10134</v>
      </c>
      <c r="J248" s="36">
        <f t="shared" si="34"/>
        <v>0.43054771315640883</v>
      </c>
      <c r="K248" s="48" t="s">
        <v>14</v>
      </c>
      <c r="L248" s="48" t="s">
        <v>14</v>
      </c>
      <c r="M248" s="38">
        <v>42916</v>
      </c>
      <c r="N248" s="48" t="s">
        <v>28</v>
      </c>
      <c r="O248" s="35">
        <v>3050</v>
      </c>
      <c r="P248" s="35"/>
      <c r="Q248" s="35"/>
      <c r="R248" s="35"/>
      <c r="S248" s="58"/>
      <c r="T248" s="58"/>
    </row>
    <row r="249" spans="1:20" s="15" customFormat="1" ht="26.25" customHeight="1" x14ac:dyDescent="0.2">
      <c r="A249" s="43" t="s">
        <v>758</v>
      </c>
      <c r="B249" s="46" t="s">
        <v>92</v>
      </c>
      <c r="C249" s="44" t="s">
        <v>479</v>
      </c>
      <c r="D249" s="47">
        <v>14016</v>
      </c>
      <c r="E249" s="46" t="s">
        <v>783</v>
      </c>
      <c r="F249" s="35">
        <v>7230</v>
      </c>
      <c r="G249" s="35">
        <v>7230</v>
      </c>
      <c r="H249" s="35">
        <v>0</v>
      </c>
      <c r="I249" s="35">
        <f t="shared" si="33"/>
        <v>7230</v>
      </c>
      <c r="J249" s="36">
        <f t="shared" si="34"/>
        <v>0</v>
      </c>
      <c r="K249" s="48" t="s">
        <v>14</v>
      </c>
      <c r="L249" s="48" t="s">
        <v>15</v>
      </c>
      <c r="M249" s="38">
        <v>42916</v>
      </c>
      <c r="N249" s="48"/>
      <c r="O249" s="35">
        <v>7230</v>
      </c>
      <c r="P249" s="35"/>
      <c r="Q249" s="35"/>
      <c r="R249" s="35"/>
      <c r="S249" s="58"/>
      <c r="T249" s="58"/>
    </row>
    <row r="250" spans="1:20" s="15" customFormat="1" ht="26.25" customHeight="1" x14ac:dyDescent="0.2">
      <c r="A250" s="43" t="s">
        <v>759</v>
      </c>
      <c r="B250" s="46" t="s">
        <v>21</v>
      </c>
      <c r="C250" s="44" t="s">
        <v>772</v>
      </c>
      <c r="D250" s="47">
        <v>14020</v>
      </c>
      <c r="E250" s="46" t="s">
        <v>784</v>
      </c>
      <c r="F250" s="35">
        <v>25000</v>
      </c>
      <c r="G250" s="35">
        <v>25000</v>
      </c>
      <c r="H250" s="35">
        <v>0</v>
      </c>
      <c r="I250" s="35">
        <f t="shared" si="33"/>
        <v>25000</v>
      </c>
      <c r="J250" s="36">
        <f t="shared" si="34"/>
        <v>0</v>
      </c>
      <c r="K250" s="48" t="s">
        <v>14</v>
      </c>
      <c r="L250" s="48" t="s">
        <v>14</v>
      </c>
      <c r="M250" s="38">
        <v>42916</v>
      </c>
      <c r="N250" s="48"/>
      <c r="O250" s="35">
        <v>25000</v>
      </c>
      <c r="P250" s="35"/>
      <c r="Q250" s="35"/>
      <c r="R250" s="35"/>
      <c r="S250" s="58"/>
      <c r="T250" s="58"/>
    </row>
    <row r="251" spans="1:20" s="15" customFormat="1" ht="26.25" customHeight="1" x14ac:dyDescent="0.2">
      <c r="A251" s="43" t="s">
        <v>760</v>
      </c>
      <c r="B251" s="46" t="s">
        <v>19</v>
      </c>
      <c r="C251" s="44" t="s">
        <v>773</v>
      </c>
      <c r="D251" s="47">
        <v>14036</v>
      </c>
      <c r="E251" s="46" t="s">
        <v>785</v>
      </c>
      <c r="F251" s="35">
        <v>5855</v>
      </c>
      <c r="G251" s="35">
        <v>5855</v>
      </c>
      <c r="H251" s="35">
        <v>0</v>
      </c>
      <c r="I251" s="35">
        <f t="shared" si="33"/>
        <v>5855</v>
      </c>
      <c r="J251" s="36">
        <f t="shared" si="34"/>
        <v>0</v>
      </c>
      <c r="K251" s="48" t="s">
        <v>14</v>
      </c>
      <c r="L251" s="48" t="s">
        <v>14</v>
      </c>
      <c r="M251" s="38">
        <v>42916</v>
      </c>
      <c r="N251" s="48"/>
      <c r="O251" s="35">
        <v>5855</v>
      </c>
      <c r="P251" s="35"/>
      <c r="Q251" s="35"/>
      <c r="R251" s="35"/>
      <c r="S251" s="58"/>
      <c r="T251" s="58"/>
    </row>
    <row r="252" spans="1:20" s="15" customFormat="1" ht="26.25" customHeight="1" x14ac:dyDescent="0.2">
      <c r="A252" s="43" t="s">
        <v>761</v>
      </c>
      <c r="B252" s="46" t="s">
        <v>19</v>
      </c>
      <c r="C252" s="44" t="s">
        <v>774</v>
      </c>
      <c r="D252" s="47">
        <v>14046</v>
      </c>
      <c r="E252" s="46" t="s">
        <v>786</v>
      </c>
      <c r="F252" s="35">
        <v>27846</v>
      </c>
      <c r="G252" s="35">
        <v>27846</v>
      </c>
      <c r="H252" s="35">
        <v>0</v>
      </c>
      <c r="I252" s="35">
        <f t="shared" si="33"/>
        <v>27846</v>
      </c>
      <c r="J252" s="36">
        <f t="shared" si="34"/>
        <v>0</v>
      </c>
      <c r="K252" s="48" t="s">
        <v>14</v>
      </c>
      <c r="L252" s="48" t="s">
        <v>14</v>
      </c>
      <c r="M252" s="38">
        <v>42946</v>
      </c>
      <c r="N252" s="48"/>
      <c r="O252" s="35">
        <v>27846</v>
      </c>
      <c r="P252" s="35"/>
      <c r="Q252" s="35"/>
      <c r="R252" s="35"/>
      <c r="S252" s="58"/>
      <c r="T252" s="58"/>
    </row>
    <row r="253" spans="1:20" s="15" customFormat="1" ht="26.25" customHeight="1" x14ac:dyDescent="0.2">
      <c r="A253" s="43" t="s">
        <v>762</v>
      </c>
      <c r="B253" s="46" t="s">
        <v>19</v>
      </c>
      <c r="C253" s="44" t="s">
        <v>637</v>
      </c>
      <c r="D253" s="47">
        <v>14058</v>
      </c>
      <c r="E253" s="46" t="s">
        <v>787</v>
      </c>
      <c r="F253" s="35">
        <v>14375</v>
      </c>
      <c r="G253" s="35">
        <v>14375</v>
      </c>
      <c r="H253" s="35">
        <v>0</v>
      </c>
      <c r="I253" s="35">
        <f t="shared" si="33"/>
        <v>14375</v>
      </c>
      <c r="J253" s="36">
        <f t="shared" si="34"/>
        <v>0</v>
      </c>
      <c r="K253" s="48" t="s">
        <v>14</v>
      </c>
      <c r="L253" s="48" t="s">
        <v>14</v>
      </c>
      <c r="M253" s="38">
        <v>42916</v>
      </c>
      <c r="N253" s="48"/>
      <c r="O253" s="35">
        <v>14375</v>
      </c>
      <c r="P253" s="35"/>
      <c r="Q253" s="35"/>
      <c r="R253" s="35"/>
      <c r="S253" s="58"/>
      <c r="T253" s="58"/>
    </row>
    <row r="254" spans="1:20" s="15" customFormat="1" ht="26.25" customHeight="1" x14ac:dyDescent="0.2">
      <c r="A254" s="43" t="s">
        <v>763</v>
      </c>
      <c r="B254" s="46" t="s">
        <v>92</v>
      </c>
      <c r="C254" s="44" t="s">
        <v>82</v>
      </c>
      <c r="D254" s="47">
        <v>14062</v>
      </c>
      <c r="E254" s="46" t="s">
        <v>788</v>
      </c>
      <c r="F254" s="35">
        <v>6275</v>
      </c>
      <c r="G254" s="35">
        <v>6275</v>
      </c>
      <c r="H254" s="35">
        <v>0</v>
      </c>
      <c r="I254" s="35">
        <f t="shared" si="33"/>
        <v>6275</v>
      </c>
      <c r="J254" s="36">
        <f t="shared" si="34"/>
        <v>0</v>
      </c>
      <c r="K254" s="48" t="s">
        <v>14</v>
      </c>
      <c r="L254" s="48" t="s">
        <v>14</v>
      </c>
      <c r="M254" s="38">
        <v>42916</v>
      </c>
      <c r="N254" s="48"/>
      <c r="O254" s="35">
        <v>6275</v>
      </c>
      <c r="P254" s="35"/>
      <c r="Q254" s="35"/>
      <c r="R254" s="35"/>
      <c r="S254" s="58"/>
      <c r="T254" s="58"/>
    </row>
    <row r="255" spans="1:20" s="15" customFormat="1" ht="18" customHeight="1" x14ac:dyDescent="0.2">
      <c r="A255" s="43" t="s">
        <v>764</v>
      </c>
      <c r="B255" s="46" t="s">
        <v>30</v>
      </c>
      <c r="C255" s="44" t="s">
        <v>775</v>
      </c>
      <c r="D255" s="47">
        <v>14065</v>
      </c>
      <c r="E255" s="46" t="s">
        <v>790</v>
      </c>
      <c r="F255" s="35">
        <v>8310</v>
      </c>
      <c r="G255" s="35">
        <v>8310</v>
      </c>
      <c r="H255" s="35">
        <v>0</v>
      </c>
      <c r="I255" s="35">
        <f t="shared" si="33"/>
        <v>8310</v>
      </c>
      <c r="J255" s="36">
        <f t="shared" si="34"/>
        <v>0</v>
      </c>
      <c r="K255" s="48" t="s">
        <v>14</v>
      </c>
      <c r="L255" s="48" t="s">
        <v>14</v>
      </c>
      <c r="M255" s="38">
        <v>42853</v>
      </c>
      <c r="N255" s="48"/>
      <c r="O255" s="35">
        <v>8310</v>
      </c>
      <c r="P255" s="35"/>
      <c r="Q255" s="35"/>
      <c r="R255" s="35"/>
      <c r="S255" s="58"/>
      <c r="T255" s="58"/>
    </row>
    <row r="256" spans="1:20" s="15" customFormat="1" ht="26.25" customHeight="1" x14ac:dyDescent="0.2">
      <c r="A256" s="43" t="s">
        <v>765</v>
      </c>
      <c r="B256" s="46" t="s">
        <v>767</v>
      </c>
      <c r="C256" s="44" t="s">
        <v>776</v>
      </c>
      <c r="D256" s="47">
        <v>14068</v>
      </c>
      <c r="E256" s="46" t="s">
        <v>791</v>
      </c>
      <c r="F256" s="35">
        <v>7500</v>
      </c>
      <c r="G256" s="35">
        <v>7500</v>
      </c>
      <c r="H256" s="35">
        <v>0</v>
      </c>
      <c r="I256" s="35">
        <f t="shared" si="33"/>
        <v>7500</v>
      </c>
      <c r="J256" s="36">
        <f t="shared" si="34"/>
        <v>0</v>
      </c>
      <c r="K256" s="48" t="s">
        <v>14</v>
      </c>
      <c r="L256" s="48" t="s">
        <v>14</v>
      </c>
      <c r="M256" s="38">
        <v>42916</v>
      </c>
      <c r="N256" s="48"/>
      <c r="O256" s="35">
        <v>7500</v>
      </c>
      <c r="P256" s="35"/>
      <c r="Q256" s="35"/>
      <c r="R256" s="35"/>
      <c r="S256" s="58"/>
      <c r="T256" s="58"/>
    </row>
    <row r="257" spans="1:20" s="15" customFormat="1" ht="26.25" customHeight="1" x14ac:dyDescent="0.2">
      <c r="A257" s="43" t="s">
        <v>792</v>
      </c>
      <c r="B257" s="46" t="s">
        <v>19</v>
      </c>
      <c r="C257" s="44" t="s">
        <v>805</v>
      </c>
      <c r="D257" s="47">
        <v>13554</v>
      </c>
      <c r="E257" s="46" t="s">
        <v>807</v>
      </c>
      <c r="F257" s="35">
        <v>37880</v>
      </c>
      <c r="G257" s="35">
        <v>37880</v>
      </c>
      <c r="H257" s="35">
        <v>0</v>
      </c>
      <c r="I257" s="35">
        <f t="shared" si="33"/>
        <v>37880</v>
      </c>
      <c r="J257" s="36">
        <f t="shared" si="34"/>
        <v>0</v>
      </c>
      <c r="K257" s="48" t="s">
        <v>14</v>
      </c>
      <c r="L257" s="48" t="s">
        <v>14</v>
      </c>
      <c r="M257" s="38">
        <v>42680</v>
      </c>
      <c r="N257" s="48"/>
      <c r="O257" s="35">
        <v>37880</v>
      </c>
      <c r="P257" s="35"/>
      <c r="Q257" s="35"/>
      <c r="R257" s="35"/>
      <c r="S257" s="58"/>
      <c r="T257" s="58"/>
    </row>
    <row r="258" spans="1:20" s="15" customFormat="1" ht="26.25" customHeight="1" x14ac:dyDescent="0.2">
      <c r="A258" s="43" t="s">
        <v>793</v>
      </c>
      <c r="B258" s="46" t="s">
        <v>19</v>
      </c>
      <c r="C258" s="44" t="s">
        <v>805</v>
      </c>
      <c r="D258" s="47">
        <v>13623</v>
      </c>
      <c r="E258" s="46" t="s">
        <v>808</v>
      </c>
      <c r="F258" s="35">
        <v>16424</v>
      </c>
      <c r="G258" s="35">
        <v>16424</v>
      </c>
      <c r="H258" s="35">
        <v>0</v>
      </c>
      <c r="I258" s="35">
        <f t="shared" ref="I258:I271" si="35">G258+H258</f>
        <v>16424</v>
      </c>
      <c r="J258" s="36">
        <f t="shared" ref="J258:J271" si="36">IF(G258=0,100%,(I258-G258)/G258)</f>
        <v>0</v>
      </c>
      <c r="K258" s="48" t="s">
        <v>14</v>
      </c>
      <c r="L258" s="48" t="s">
        <v>14</v>
      </c>
      <c r="M258" s="38">
        <v>42659</v>
      </c>
      <c r="N258" s="48"/>
      <c r="O258" s="35">
        <v>16424</v>
      </c>
      <c r="P258" s="35"/>
      <c r="Q258" s="35"/>
      <c r="R258" s="35"/>
      <c r="S258" s="58"/>
      <c r="T258" s="58"/>
    </row>
    <row r="259" spans="1:20" s="15" customFormat="1" ht="26.25" customHeight="1" x14ac:dyDescent="0.2">
      <c r="A259" s="43" t="s">
        <v>794</v>
      </c>
      <c r="B259" s="46" t="s">
        <v>19</v>
      </c>
      <c r="C259" s="44" t="s">
        <v>805</v>
      </c>
      <c r="D259" s="47">
        <v>13625</v>
      </c>
      <c r="E259" s="46" t="s">
        <v>809</v>
      </c>
      <c r="F259" s="35">
        <v>11098</v>
      </c>
      <c r="G259" s="35">
        <v>11098</v>
      </c>
      <c r="H259" s="35">
        <v>0</v>
      </c>
      <c r="I259" s="35">
        <f t="shared" si="35"/>
        <v>11098</v>
      </c>
      <c r="J259" s="36">
        <f t="shared" si="36"/>
        <v>0</v>
      </c>
      <c r="K259" s="48" t="s">
        <v>14</v>
      </c>
      <c r="L259" s="48" t="s">
        <v>14</v>
      </c>
      <c r="M259" s="38">
        <v>42659</v>
      </c>
      <c r="N259" s="48"/>
      <c r="O259" s="35">
        <v>11098</v>
      </c>
      <c r="P259" s="35"/>
      <c r="Q259" s="35"/>
      <c r="R259" s="35"/>
      <c r="S259" s="58"/>
      <c r="T259" s="58"/>
    </row>
    <row r="260" spans="1:20" s="15" customFormat="1" ht="26.25" customHeight="1" x14ac:dyDescent="0.2">
      <c r="A260" s="43" t="s">
        <v>795</v>
      </c>
      <c r="B260" s="46" t="s">
        <v>19</v>
      </c>
      <c r="C260" s="44" t="s">
        <v>805</v>
      </c>
      <c r="D260" s="47">
        <v>13627</v>
      </c>
      <c r="E260" s="46" t="s">
        <v>810</v>
      </c>
      <c r="F260" s="35">
        <v>35274</v>
      </c>
      <c r="G260" s="35">
        <v>35274</v>
      </c>
      <c r="H260" s="35">
        <v>0</v>
      </c>
      <c r="I260" s="35">
        <f t="shared" si="35"/>
        <v>35274</v>
      </c>
      <c r="J260" s="36">
        <f t="shared" si="36"/>
        <v>0</v>
      </c>
      <c r="K260" s="48" t="s">
        <v>14</v>
      </c>
      <c r="L260" s="48" t="s">
        <v>14</v>
      </c>
      <c r="M260" s="38">
        <v>42659</v>
      </c>
      <c r="N260" s="48"/>
      <c r="O260" s="35">
        <v>35274</v>
      </c>
      <c r="P260" s="35"/>
      <c r="Q260" s="35"/>
      <c r="R260" s="35"/>
      <c r="S260" s="58"/>
      <c r="T260" s="58"/>
    </row>
    <row r="261" spans="1:20" s="15" customFormat="1" ht="26.25" customHeight="1" x14ac:dyDescent="0.2">
      <c r="A261" s="43" t="s">
        <v>796</v>
      </c>
      <c r="B261" s="46" t="s">
        <v>19</v>
      </c>
      <c r="C261" s="44" t="s">
        <v>805</v>
      </c>
      <c r="D261" s="47">
        <v>13628</v>
      </c>
      <c r="E261" s="46" t="s">
        <v>811</v>
      </c>
      <c r="F261" s="35">
        <v>36110</v>
      </c>
      <c r="G261" s="35">
        <v>36110</v>
      </c>
      <c r="H261" s="35">
        <v>0</v>
      </c>
      <c r="I261" s="35">
        <f t="shared" si="35"/>
        <v>36110</v>
      </c>
      <c r="J261" s="36">
        <f t="shared" si="36"/>
        <v>0</v>
      </c>
      <c r="K261" s="48" t="s">
        <v>14</v>
      </c>
      <c r="L261" s="48" t="s">
        <v>14</v>
      </c>
      <c r="M261" s="38">
        <v>42659</v>
      </c>
      <c r="N261" s="48"/>
      <c r="O261" s="35">
        <v>36110</v>
      </c>
      <c r="P261" s="35"/>
      <c r="Q261" s="35"/>
      <c r="R261" s="35"/>
      <c r="S261" s="58"/>
      <c r="T261" s="58"/>
    </row>
    <row r="262" spans="1:20" s="15" customFormat="1" ht="26.25" customHeight="1" x14ac:dyDescent="0.2">
      <c r="A262" s="43" t="s">
        <v>797</v>
      </c>
      <c r="B262" s="46" t="s">
        <v>19</v>
      </c>
      <c r="C262" s="44" t="s">
        <v>46</v>
      </c>
      <c r="D262" s="47">
        <v>13630</v>
      </c>
      <c r="E262" s="46" t="s">
        <v>812</v>
      </c>
      <c r="F262" s="35">
        <v>26010</v>
      </c>
      <c r="G262" s="35">
        <v>26010</v>
      </c>
      <c r="H262" s="35">
        <v>0</v>
      </c>
      <c r="I262" s="35">
        <f t="shared" si="35"/>
        <v>26010</v>
      </c>
      <c r="J262" s="36">
        <f t="shared" si="36"/>
        <v>0</v>
      </c>
      <c r="K262" s="48" t="s">
        <v>14</v>
      </c>
      <c r="L262" s="48" t="s">
        <v>14</v>
      </c>
      <c r="M262" s="38">
        <v>42659</v>
      </c>
      <c r="N262" s="48"/>
      <c r="O262" s="35">
        <v>26010</v>
      </c>
      <c r="P262" s="35"/>
      <c r="Q262" s="35"/>
      <c r="R262" s="35"/>
      <c r="S262" s="58"/>
      <c r="T262" s="58"/>
    </row>
    <row r="263" spans="1:20" s="15" customFormat="1" ht="26.25" customHeight="1" x14ac:dyDescent="0.2">
      <c r="A263" s="43" t="s">
        <v>798</v>
      </c>
      <c r="B263" s="46" t="s">
        <v>19</v>
      </c>
      <c r="C263" s="44" t="s">
        <v>46</v>
      </c>
      <c r="D263" s="47">
        <v>13760</v>
      </c>
      <c r="E263" s="46" t="s">
        <v>813</v>
      </c>
      <c r="F263" s="35">
        <v>20000</v>
      </c>
      <c r="G263" s="35">
        <v>20000</v>
      </c>
      <c r="H263" s="35">
        <v>0</v>
      </c>
      <c r="I263" s="35">
        <f t="shared" si="35"/>
        <v>20000</v>
      </c>
      <c r="J263" s="36">
        <f t="shared" si="36"/>
        <v>0</v>
      </c>
      <c r="K263" s="48" t="s">
        <v>14</v>
      </c>
      <c r="L263" s="48" t="s">
        <v>14</v>
      </c>
      <c r="M263" s="38">
        <v>42916</v>
      </c>
      <c r="N263" s="48"/>
      <c r="O263" s="35">
        <v>20000</v>
      </c>
      <c r="P263" s="35"/>
      <c r="Q263" s="35"/>
      <c r="R263" s="35"/>
      <c r="S263" s="58"/>
      <c r="T263" s="58"/>
    </row>
    <row r="264" spans="1:20" s="15" customFormat="1" ht="18" customHeight="1" x14ac:dyDescent="0.2">
      <c r="A264" s="43" t="s">
        <v>799</v>
      </c>
      <c r="B264" s="46" t="s">
        <v>19</v>
      </c>
      <c r="C264" s="44" t="s">
        <v>46</v>
      </c>
      <c r="D264" s="47">
        <v>13777</v>
      </c>
      <c r="E264" s="46" t="s">
        <v>814</v>
      </c>
      <c r="F264" s="35">
        <v>27030</v>
      </c>
      <c r="G264" s="35">
        <v>27030</v>
      </c>
      <c r="H264" s="35">
        <v>0</v>
      </c>
      <c r="I264" s="35">
        <f t="shared" si="35"/>
        <v>27030</v>
      </c>
      <c r="J264" s="36">
        <f t="shared" si="36"/>
        <v>0</v>
      </c>
      <c r="K264" s="48" t="s">
        <v>14</v>
      </c>
      <c r="L264" s="48" t="s">
        <v>14</v>
      </c>
      <c r="M264" s="38">
        <v>42916</v>
      </c>
      <c r="N264" s="48"/>
      <c r="O264" s="35">
        <v>27030</v>
      </c>
      <c r="P264" s="35"/>
      <c r="Q264" s="35"/>
      <c r="R264" s="35"/>
      <c r="S264" s="58"/>
      <c r="T264" s="58"/>
    </row>
    <row r="265" spans="1:20" s="15" customFormat="1" ht="18" customHeight="1" x14ac:dyDescent="0.2">
      <c r="A265" s="43" t="s">
        <v>800</v>
      </c>
      <c r="B265" s="46" t="s">
        <v>19</v>
      </c>
      <c r="C265" s="44" t="s">
        <v>46</v>
      </c>
      <c r="D265" s="47">
        <v>13778</v>
      </c>
      <c r="E265" s="46" t="s">
        <v>815</v>
      </c>
      <c r="F265" s="35">
        <v>27090</v>
      </c>
      <c r="G265" s="35">
        <v>27090</v>
      </c>
      <c r="H265" s="35">
        <v>0</v>
      </c>
      <c r="I265" s="35">
        <f t="shared" si="35"/>
        <v>27090</v>
      </c>
      <c r="J265" s="36">
        <f t="shared" si="36"/>
        <v>0</v>
      </c>
      <c r="K265" s="48" t="s">
        <v>14</v>
      </c>
      <c r="L265" s="48" t="s">
        <v>14</v>
      </c>
      <c r="M265" s="38">
        <v>42916</v>
      </c>
      <c r="N265" s="48"/>
      <c r="O265" s="35">
        <v>27090</v>
      </c>
      <c r="P265" s="35"/>
      <c r="Q265" s="35"/>
      <c r="R265" s="35"/>
      <c r="S265" s="58"/>
      <c r="T265" s="58"/>
    </row>
    <row r="266" spans="1:20" s="15" customFormat="1" ht="26.25" customHeight="1" x14ac:dyDescent="0.2">
      <c r="A266" s="43" t="s">
        <v>801</v>
      </c>
      <c r="B266" s="46" t="s">
        <v>19</v>
      </c>
      <c r="C266" s="44" t="s">
        <v>805</v>
      </c>
      <c r="D266" s="47">
        <v>13880</v>
      </c>
      <c r="E266" s="46" t="s">
        <v>816</v>
      </c>
      <c r="F266" s="35">
        <v>33849</v>
      </c>
      <c r="G266" s="35">
        <v>33849</v>
      </c>
      <c r="H266" s="35">
        <v>0</v>
      </c>
      <c r="I266" s="35">
        <f t="shared" si="35"/>
        <v>33849</v>
      </c>
      <c r="J266" s="36">
        <f t="shared" si="36"/>
        <v>0</v>
      </c>
      <c r="K266" s="48" t="s">
        <v>14</v>
      </c>
      <c r="L266" s="48" t="s">
        <v>14</v>
      </c>
      <c r="M266" s="38">
        <v>42766</v>
      </c>
      <c r="N266" s="48"/>
      <c r="O266" s="35">
        <v>33849</v>
      </c>
      <c r="P266" s="35"/>
      <c r="Q266" s="35"/>
      <c r="R266" s="35"/>
      <c r="S266" s="58"/>
      <c r="T266" s="58"/>
    </row>
    <row r="267" spans="1:20" s="15" customFormat="1" ht="26.25" customHeight="1" x14ac:dyDescent="0.2">
      <c r="A267" s="43" t="s">
        <v>802</v>
      </c>
      <c r="B267" s="46" t="s">
        <v>19</v>
      </c>
      <c r="C267" s="44" t="s">
        <v>46</v>
      </c>
      <c r="D267" s="47">
        <v>13913</v>
      </c>
      <c r="E267" s="46" t="s">
        <v>817</v>
      </c>
      <c r="F267" s="35">
        <v>11375</v>
      </c>
      <c r="G267" s="35">
        <v>11375</v>
      </c>
      <c r="H267" s="35">
        <v>0</v>
      </c>
      <c r="I267" s="35">
        <f t="shared" si="35"/>
        <v>11375</v>
      </c>
      <c r="J267" s="36">
        <f t="shared" si="36"/>
        <v>0</v>
      </c>
      <c r="K267" s="48" t="s">
        <v>14</v>
      </c>
      <c r="L267" s="48" t="s">
        <v>14</v>
      </c>
      <c r="M267" s="38">
        <v>42735</v>
      </c>
      <c r="N267" s="48"/>
      <c r="O267" s="35">
        <v>11375</v>
      </c>
      <c r="P267" s="35"/>
      <c r="Q267" s="35"/>
      <c r="R267" s="35"/>
      <c r="S267" s="58"/>
      <c r="T267" s="58"/>
    </row>
    <row r="268" spans="1:20" s="15" customFormat="1" ht="26.25" customHeight="1" x14ac:dyDescent="0.2">
      <c r="A268" s="43" t="s">
        <v>803</v>
      </c>
      <c r="B268" s="46" t="s">
        <v>19</v>
      </c>
      <c r="C268" s="44" t="s">
        <v>46</v>
      </c>
      <c r="D268" s="47">
        <v>13914</v>
      </c>
      <c r="E268" s="46" t="s">
        <v>818</v>
      </c>
      <c r="F268" s="35">
        <v>12125</v>
      </c>
      <c r="G268" s="35">
        <v>12125</v>
      </c>
      <c r="H268" s="35">
        <v>0</v>
      </c>
      <c r="I268" s="35">
        <f t="shared" si="35"/>
        <v>12125</v>
      </c>
      <c r="J268" s="36">
        <f t="shared" si="36"/>
        <v>0</v>
      </c>
      <c r="K268" s="48" t="s">
        <v>14</v>
      </c>
      <c r="L268" s="48" t="s">
        <v>14</v>
      </c>
      <c r="M268" s="38">
        <v>42735</v>
      </c>
      <c r="N268" s="48"/>
      <c r="O268" s="35">
        <v>12125</v>
      </c>
      <c r="P268" s="35"/>
      <c r="Q268" s="35"/>
      <c r="R268" s="35"/>
      <c r="S268" s="58"/>
      <c r="T268" s="58"/>
    </row>
    <row r="269" spans="1:20" s="15" customFormat="1" ht="26.25" customHeight="1" x14ac:dyDescent="0.2">
      <c r="A269" s="43" t="s">
        <v>804</v>
      </c>
      <c r="B269" s="46" t="s">
        <v>19</v>
      </c>
      <c r="C269" s="44" t="s">
        <v>806</v>
      </c>
      <c r="D269" s="47">
        <v>14078</v>
      </c>
      <c r="E269" s="46" t="s">
        <v>819</v>
      </c>
      <c r="F269" s="35">
        <v>15000</v>
      </c>
      <c r="G269" s="35">
        <v>15000</v>
      </c>
      <c r="H269" s="35">
        <v>0</v>
      </c>
      <c r="I269" s="35">
        <f t="shared" si="35"/>
        <v>15000</v>
      </c>
      <c r="J269" s="36">
        <f t="shared" si="36"/>
        <v>0</v>
      </c>
      <c r="K269" s="48" t="s">
        <v>14</v>
      </c>
      <c r="L269" s="48" t="s">
        <v>14</v>
      </c>
      <c r="M269" s="38">
        <v>42825</v>
      </c>
      <c r="N269" s="48"/>
      <c r="O269" s="35">
        <v>15000</v>
      </c>
      <c r="P269" s="35"/>
      <c r="Q269" s="35"/>
      <c r="R269" s="35"/>
      <c r="S269" s="58"/>
      <c r="T269" s="58"/>
    </row>
    <row r="270" spans="1:20" s="15" customFormat="1" ht="26.25" customHeight="1" x14ac:dyDescent="0.2">
      <c r="A270" s="43" t="s">
        <v>821</v>
      </c>
      <c r="B270" s="46" t="s">
        <v>19</v>
      </c>
      <c r="C270" s="44" t="s">
        <v>46</v>
      </c>
      <c r="D270" s="47">
        <v>13556</v>
      </c>
      <c r="E270" s="46" t="s">
        <v>457</v>
      </c>
      <c r="F270" s="35">
        <v>78750</v>
      </c>
      <c r="G270" s="35">
        <v>78750</v>
      </c>
      <c r="H270" s="35">
        <v>0</v>
      </c>
      <c r="I270" s="35">
        <f t="shared" si="35"/>
        <v>78750</v>
      </c>
      <c r="J270" s="36">
        <f t="shared" si="36"/>
        <v>0</v>
      </c>
      <c r="K270" s="48" t="s">
        <v>14</v>
      </c>
      <c r="L270" s="48" t="s">
        <v>14</v>
      </c>
      <c r="M270" s="38">
        <v>42680</v>
      </c>
      <c r="N270" s="48"/>
      <c r="O270" s="35">
        <v>78750</v>
      </c>
      <c r="P270" s="35"/>
      <c r="Q270" s="35"/>
      <c r="R270" s="35"/>
      <c r="S270" s="58"/>
      <c r="T270" s="58"/>
    </row>
    <row r="271" spans="1:20" s="15" customFormat="1" ht="26.25" customHeight="1" x14ac:dyDescent="0.2">
      <c r="A271" s="43" t="s">
        <v>822</v>
      </c>
      <c r="B271" s="46" t="s">
        <v>19</v>
      </c>
      <c r="C271" s="44" t="s">
        <v>128</v>
      </c>
      <c r="D271" s="47">
        <v>13622</v>
      </c>
      <c r="E271" s="46" t="s">
        <v>824</v>
      </c>
      <c r="F271" s="35">
        <v>50000</v>
      </c>
      <c r="G271" s="35">
        <v>50000</v>
      </c>
      <c r="H271" s="35">
        <v>0</v>
      </c>
      <c r="I271" s="35">
        <f t="shared" si="35"/>
        <v>50000</v>
      </c>
      <c r="J271" s="36">
        <f t="shared" si="36"/>
        <v>0</v>
      </c>
      <c r="K271" s="48" t="s">
        <v>14</v>
      </c>
      <c r="L271" s="48" t="s">
        <v>14</v>
      </c>
      <c r="M271" s="38">
        <v>42659</v>
      </c>
      <c r="N271" s="48"/>
      <c r="O271" s="35">
        <v>50000</v>
      </c>
      <c r="P271" s="35"/>
      <c r="Q271" s="35"/>
      <c r="R271" s="35"/>
      <c r="S271" s="58"/>
      <c r="T271" s="58"/>
    </row>
    <row r="272" spans="1:20" s="15" customFormat="1" ht="18" customHeight="1" x14ac:dyDescent="0.2">
      <c r="A272" s="43" t="s">
        <v>823</v>
      </c>
      <c r="B272" s="46" t="s">
        <v>19</v>
      </c>
      <c r="C272" s="44" t="s">
        <v>46</v>
      </c>
      <c r="D272" s="47">
        <v>13782</v>
      </c>
      <c r="E272" s="46" t="s">
        <v>825</v>
      </c>
      <c r="F272" s="35">
        <v>53000</v>
      </c>
      <c r="G272" s="35">
        <v>53000</v>
      </c>
      <c r="H272" s="35">
        <v>0</v>
      </c>
      <c r="I272" s="35">
        <f>G272+H272</f>
        <v>53000</v>
      </c>
      <c r="J272" s="36">
        <f>IF(G272=0,100%,(I272-G272)/G272)</f>
        <v>0</v>
      </c>
      <c r="K272" s="48" t="s">
        <v>14</v>
      </c>
      <c r="L272" s="48" t="s">
        <v>14</v>
      </c>
      <c r="M272" s="38">
        <v>42916</v>
      </c>
      <c r="N272" s="48"/>
      <c r="O272" s="35">
        <v>53000</v>
      </c>
      <c r="P272" s="35"/>
      <c r="Q272" s="35"/>
      <c r="R272" s="35"/>
      <c r="S272" s="58"/>
      <c r="T272" s="58"/>
    </row>
    <row r="273" spans="1:20" s="15" customFormat="1" ht="26.25" customHeight="1" x14ac:dyDescent="0.2">
      <c r="A273" s="43" t="s">
        <v>826</v>
      </c>
      <c r="B273" s="46" t="s">
        <v>21</v>
      </c>
      <c r="C273" s="44" t="s">
        <v>449</v>
      </c>
      <c r="D273" s="47">
        <v>13512</v>
      </c>
      <c r="E273" s="46" t="s">
        <v>455</v>
      </c>
      <c r="F273" s="35">
        <v>90700</v>
      </c>
      <c r="G273" s="35">
        <v>90700</v>
      </c>
      <c r="H273" s="35">
        <v>0</v>
      </c>
      <c r="I273" s="35">
        <f>G273+H273</f>
        <v>90700</v>
      </c>
      <c r="J273" s="36">
        <f>IF(G273=0,100%,(I273-G273)/G273)</f>
        <v>0</v>
      </c>
      <c r="K273" s="48" t="s">
        <v>14</v>
      </c>
      <c r="L273" s="48" t="s">
        <v>14</v>
      </c>
      <c r="M273" s="38">
        <v>42916</v>
      </c>
      <c r="N273" s="48"/>
      <c r="O273" s="35">
        <v>90700</v>
      </c>
      <c r="P273" s="35"/>
      <c r="Q273" s="35"/>
      <c r="R273" s="35"/>
      <c r="S273" s="58"/>
      <c r="T273" s="58"/>
    </row>
    <row r="274" spans="1:20" s="15" customFormat="1" ht="26.25" customHeight="1" x14ac:dyDescent="0.2">
      <c r="A274" s="43" t="s">
        <v>827</v>
      </c>
      <c r="B274" s="46" t="s">
        <v>30</v>
      </c>
      <c r="C274" s="44" t="s">
        <v>830</v>
      </c>
      <c r="D274" s="47">
        <v>13663</v>
      </c>
      <c r="E274" s="46" t="s">
        <v>833</v>
      </c>
      <c r="F274" s="35">
        <f>90077*3</f>
        <v>270231</v>
      </c>
      <c r="G274" s="35">
        <f>90077*3</f>
        <v>270231</v>
      </c>
      <c r="H274" s="35">
        <v>0</v>
      </c>
      <c r="I274" s="35">
        <f>G274+H274</f>
        <v>270231</v>
      </c>
      <c r="J274" s="36">
        <f>IF(G274=0,100%,(I274-G274)/G274)</f>
        <v>0</v>
      </c>
      <c r="K274" s="48" t="s">
        <v>14</v>
      </c>
      <c r="L274" s="48" t="s">
        <v>15</v>
      </c>
      <c r="M274" s="38">
        <v>43119</v>
      </c>
      <c r="N274" s="48" t="s">
        <v>18</v>
      </c>
      <c r="O274" s="35">
        <v>90077</v>
      </c>
      <c r="P274" s="35">
        <v>90077</v>
      </c>
      <c r="Q274" s="35">
        <v>90077</v>
      </c>
      <c r="R274" s="35"/>
      <c r="S274" s="58"/>
      <c r="T274" s="58"/>
    </row>
    <row r="275" spans="1:20" s="15" customFormat="1" ht="26.25" customHeight="1" x14ac:dyDescent="0.2">
      <c r="A275" s="43" t="s">
        <v>828</v>
      </c>
      <c r="B275" s="46" t="s">
        <v>19</v>
      </c>
      <c r="C275" s="44" t="s">
        <v>831</v>
      </c>
      <c r="D275" s="47">
        <v>13939</v>
      </c>
      <c r="E275" s="46" t="s">
        <v>834</v>
      </c>
      <c r="F275" s="35">
        <v>82500</v>
      </c>
      <c r="G275" s="35">
        <v>82500</v>
      </c>
      <c r="H275" s="35">
        <v>0</v>
      </c>
      <c r="I275" s="35">
        <f>G275+H275</f>
        <v>82500</v>
      </c>
      <c r="J275" s="36">
        <f>IF(G275=0,100%,(I275-G275)/G275)</f>
        <v>0</v>
      </c>
      <c r="K275" s="48" t="s">
        <v>14</v>
      </c>
      <c r="L275" s="48" t="s">
        <v>14</v>
      </c>
      <c r="M275" s="38">
        <v>43281</v>
      </c>
      <c r="N275" s="48"/>
      <c r="O275" s="35">
        <v>82500</v>
      </c>
      <c r="P275" s="35"/>
      <c r="Q275" s="35"/>
      <c r="R275" s="35"/>
      <c r="S275" s="58"/>
      <c r="T275" s="58"/>
    </row>
    <row r="276" spans="1:20" s="15" customFormat="1" ht="18" customHeight="1" x14ac:dyDescent="0.2">
      <c r="A276" s="43" t="s">
        <v>829</v>
      </c>
      <c r="B276" s="46" t="s">
        <v>20</v>
      </c>
      <c r="C276" s="44" t="s">
        <v>832</v>
      </c>
      <c r="D276" s="47">
        <v>14076</v>
      </c>
      <c r="E276" s="46" t="s">
        <v>835</v>
      </c>
      <c r="F276" s="35">
        <f>3*55000</f>
        <v>165000</v>
      </c>
      <c r="G276" s="35">
        <f>3*55000</f>
        <v>165000</v>
      </c>
      <c r="H276" s="35">
        <v>0</v>
      </c>
      <c r="I276" s="35">
        <f>G276+H276</f>
        <v>165000</v>
      </c>
      <c r="J276" s="36">
        <f>IF(G276=0,100%,(I276-G276)/G276)</f>
        <v>0</v>
      </c>
      <c r="K276" s="48" t="s">
        <v>14</v>
      </c>
      <c r="L276" s="48" t="s">
        <v>14</v>
      </c>
      <c r="M276" s="38">
        <v>42916</v>
      </c>
      <c r="N276" s="48" t="s">
        <v>18</v>
      </c>
      <c r="O276" s="35">
        <v>55000</v>
      </c>
      <c r="P276" s="35">
        <v>55000</v>
      </c>
      <c r="Q276" s="35">
        <v>55000</v>
      </c>
      <c r="R276" s="35"/>
      <c r="S276" s="58"/>
      <c r="T276" s="58"/>
    </row>
    <row r="277" spans="1:20" s="15" customFormat="1" ht="26.25" customHeight="1" x14ac:dyDescent="0.2">
      <c r="A277" s="43" t="s">
        <v>836</v>
      </c>
      <c r="B277" s="46" t="s">
        <v>36</v>
      </c>
      <c r="C277" s="44" t="s">
        <v>844</v>
      </c>
      <c r="D277" s="47">
        <v>14005</v>
      </c>
      <c r="E277" s="46" t="s">
        <v>852</v>
      </c>
      <c r="F277" s="35">
        <v>10692</v>
      </c>
      <c r="G277" s="35">
        <v>10692</v>
      </c>
      <c r="H277" s="35">
        <v>0</v>
      </c>
      <c r="I277" s="35">
        <f t="shared" ref="I277:I283" si="37">G277+H277</f>
        <v>10692</v>
      </c>
      <c r="J277" s="36">
        <f t="shared" ref="J277:J283" si="38">IF(G277=0,100%,(I277-G277)/G277)</f>
        <v>0</v>
      </c>
      <c r="K277" s="48" t="s">
        <v>14</v>
      </c>
      <c r="L277" s="48" t="s">
        <v>14</v>
      </c>
      <c r="M277" s="38">
        <v>43891</v>
      </c>
      <c r="N277" s="48"/>
      <c r="O277" s="35">
        <v>10692</v>
      </c>
      <c r="P277" s="35"/>
      <c r="Q277" s="35"/>
      <c r="R277" s="35"/>
      <c r="S277" s="58"/>
      <c r="T277" s="58"/>
    </row>
    <row r="278" spans="1:20" s="15" customFormat="1" ht="26.25" customHeight="1" x14ac:dyDescent="0.2">
      <c r="A278" s="43" t="s">
        <v>837</v>
      </c>
      <c r="B278" s="46" t="s">
        <v>30</v>
      </c>
      <c r="C278" s="44" t="s">
        <v>845</v>
      </c>
      <c r="D278" s="47">
        <v>14097</v>
      </c>
      <c r="E278" s="46" t="s">
        <v>853</v>
      </c>
      <c r="F278" s="35">
        <f>47021*3</f>
        <v>141063</v>
      </c>
      <c r="G278" s="35">
        <f>47021*3</f>
        <v>141063</v>
      </c>
      <c r="H278" s="35">
        <v>0</v>
      </c>
      <c r="I278" s="35">
        <f t="shared" si="37"/>
        <v>141063</v>
      </c>
      <c r="J278" s="36">
        <f t="shared" si="38"/>
        <v>0</v>
      </c>
      <c r="K278" s="48" t="s">
        <v>14</v>
      </c>
      <c r="L278" s="48" t="s">
        <v>15</v>
      </c>
      <c r="M278" s="38">
        <v>43159</v>
      </c>
      <c r="N278" s="48" t="s">
        <v>18</v>
      </c>
      <c r="O278" s="35">
        <v>47021</v>
      </c>
      <c r="P278" s="35">
        <v>47021</v>
      </c>
      <c r="Q278" s="35">
        <v>47021</v>
      </c>
      <c r="R278" s="35"/>
      <c r="S278" s="58"/>
      <c r="T278" s="58"/>
    </row>
    <row r="279" spans="1:20" s="15" customFormat="1" ht="26.25" customHeight="1" x14ac:dyDescent="0.2">
      <c r="A279" s="43" t="s">
        <v>838</v>
      </c>
      <c r="B279" s="46" t="s">
        <v>17</v>
      </c>
      <c r="C279" s="44" t="s">
        <v>846</v>
      </c>
      <c r="D279" s="47">
        <v>14117</v>
      </c>
      <c r="E279" s="46" t="s">
        <v>854</v>
      </c>
      <c r="F279" s="35">
        <v>38500</v>
      </c>
      <c r="G279" s="35">
        <v>38500</v>
      </c>
      <c r="H279" s="35">
        <v>0</v>
      </c>
      <c r="I279" s="35">
        <f t="shared" si="37"/>
        <v>38500</v>
      </c>
      <c r="J279" s="36">
        <f t="shared" si="38"/>
        <v>0</v>
      </c>
      <c r="K279" s="48" t="s">
        <v>14</v>
      </c>
      <c r="L279" s="48" t="s">
        <v>14</v>
      </c>
      <c r="M279" s="38">
        <v>43069</v>
      </c>
      <c r="N279" s="48"/>
      <c r="O279" s="35">
        <v>38500</v>
      </c>
      <c r="P279" s="35"/>
      <c r="Q279" s="35"/>
      <c r="R279" s="35"/>
      <c r="S279" s="58"/>
      <c r="T279" s="58"/>
    </row>
    <row r="280" spans="1:20" s="15" customFormat="1" ht="26.25" customHeight="1" x14ac:dyDescent="0.2">
      <c r="A280" s="43" t="s">
        <v>839</v>
      </c>
      <c r="B280" s="46" t="s">
        <v>21</v>
      </c>
      <c r="C280" s="44" t="s">
        <v>847</v>
      </c>
      <c r="D280" s="47">
        <v>14120</v>
      </c>
      <c r="E280" s="46" t="s">
        <v>855</v>
      </c>
      <c r="F280" s="35">
        <v>15730</v>
      </c>
      <c r="G280" s="35">
        <v>15730</v>
      </c>
      <c r="H280" s="35">
        <v>0</v>
      </c>
      <c r="I280" s="35">
        <f t="shared" si="37"/>
        <v>15730</v>
      </c>
      <c r="J280" s="36">
        <f t="shared" si="38"/>
        <v>0</v>
      </c>
      <c r="K280" s="48" t="s">
        <v>14</v>
      </c>
      <c r="L280" s="48" t="s">
        <v>14</v>
      </c>
      <c r="M280" s="52">
        <v>42947</v>
      </c>
      <c r="N280" s="48"/>
      <c r="O280" s="35">
        <v>15730</v>
      </c>
      <c r="P280" s="35"/>
      <c r="Q280" s="35"/>
      <c r="R280" s="35"/>
      <c r="S280" s="58"/>
      <c r="T280" s="58"/>
    </row>
    <row r="281" spans="1:20" s="15" customFormat="1" ht="26.25" customHeight="1" x14ac:dyDescent="0.2">
      <c r="A281" s="43" t="s">
        <v>840</v>
      </c>
      <c r="B281" s="46" t="s">
        <v>843</v>
      </c>
      <c r="C281" s="44" t="s">
        <v>848</v>
      </c>
      <c r="D281" s="47">
        <v>14130</v>
      </c>
      <c r="E281" s="46" t="s">
        <v>856</v>
      </c>
      <c r="F281" s="35">
        <v>49990</v>
      </c>
      <c r="G281" s="35">
        <v>49990</v>
      </c>
      <c r="H281" s="35">
        <v>0</v>
      </c>
      <c r="I281" s="35">
        <f t="shared" si="37"/>
        <v>49990</v>
      </c>
      <c r="J281" s="36">
        <f t="shared" si="38"/>
        <v>0</v>
      </c>
      <c r="K281" s="48" t="s">
        <v>14</v>
      </c>
      <c r="L281" s="48" t="s">
        <v>14</v>
      </c>
      <c r="M281" s="38">
        <v>42886</v>
      </c>
      <c r="N281" s="48"/>
      <c r="O281" s="35">
        <v>49990</v>
      </c>
      <c r="P281" s="35"/>
      <c r="Q281" s="35"/>
      <c r="R281" s="35"/>
      <c r="S281" s="58"/>
      <c r="T281" s="58"/>
    </row>
    <row r="282" spans="1:20" s="15" customFormat="1" ht="26.25" customHeight="1" x14ac:dyDescent="0.2">
      <c r="A282" s="43" t="s">
        <v>841</v>
      </c>
      <c r="B282" s="46" t="s">
        <v>92</v>
      </c>
      <c r="C282" s="44" t="s">
        <v>849</v>
      </c>
      <c r="D282" s="54" t="s">
        <v>850</v>
      </c>
      <c r="E282" s="46" t="s">
        <v>857</v>
      </c>
      <c r="F282" s="35">
        <v>29000</v>
      </c>
      <c r="G282" s="35">
        <v>70000</v>
      </c>
      <c r="H282" s="35">
        <f>25000+70000+29000</f>
        <v>124000</v>
      </c>
      <c r="I282" s="35">
        <f t="shared" si="37"/>
        <v>194000</v>
      </c>
      <c r="J282" s="36">
        <f t="shared" si="38"/>
        <v>1.7714285714285714</v>
      </c>
      <c r="K282" s="48" t="s">
        <v>14</v>
      </c>
      <c r="L282" s="48" t="s">
        <v>14</v>
      </c>
      <c r="M282" s="38">
        <v>42916</v>
      </c>
      <c r="N282" s="48" t="s">
        <v>28</v>
      </c>
      <c r="O282" s="35">
        <v>29000</v>
      </c>
      <c r="P282" s="35"/>
      <c r="Q282" s="35"/>
      <c r="R282" s="35"/>
      <c r="S282" s="58"/>
      <c r="T282" s="58"/>
    </row>
    <row r="283" spans="1:20" s="15" customFormat="1" ht="26.25" customHeight="1" x14ac:dyDescent="0.2">
      <c r="A283" s="43" t="s">
        <v>842</v>
      </c>
      <c r="B283" s="46" t="s">
        <v>31</v>
      </c>
      <c r="C283" s="44" t="s">
        <v>253</v>
      </c>
      <c r="D283" s="54" t="s">
        <v>851</v>
      </c>
      <c r="E283" s="46" t="s">
        <v>858</v>
      </c>
      <c r="F283" s="35">
        <f>21000*3</f>
        <v>63000</v>
      </c>
      <c r="G283" s="35">
        <v>14500</v>
      </c>
      <c r="H283" s="35">
        <f>21000*3</f>
        <v>63000</v>
      </c>
      <c r="I283" s="35">
        <f t="shared" si="37"/>
        <v>77500</v>
      </c>
      <c r="J283" s="36">
        <f t="shared" si="38"/>
        <v>4.3448275862068968</v>
      </c>
      <c r="K283" s="48" t="s">
        <v>14</v>
      </c>
      <c r="L283" s="48" t="s">
        <v>14</v>
      </c>
      <c r="M283" s="38">
        <v>42916</v>
      </c>
      <c r="N283" s="48" t="s">
        <v>28</v>
      </c>
      <c r="O283" s="35">
        <v>21000</v>
      </c>
      <c r="P283" s="35">
        <v>21000</v>
      </c>
      <c r="Q283" s="35">
        <v>21000</v>
      </c>
      <c r="R283" s="35"/>
      <c r="S283" s="58"/>
      <c r="T283" s="58"/>
    </row>
    <row r="284" spans="1:20" s="15" customFormat="1" ht="26.25" customHeight="1" x14ac:dyDescent="0.2">
      <c r="A284" s="43" t="s">
        <v>859</v>
      </c>
      <c r="B284" s="46" t="s">
        <v>597</v>
      </c>
      <c r="C284" s="44" t="s">
        <v>599</v>
      </c>
      <c r="D284" s="54" t="s">
        <v>864</v>
      </c>
      <c r="E284" s="46" t="s">
        <v>865</v>
      </c>
      <c r="F284" s="35">
        <v>15000</v>
      </c>
      <c r="G284" s="35">
        <v>27625</v>
      </c>
      <c r="H284" s="35">
        <v>15000</v>
      </c>
      <c r="I284" s="35">
        <f t="shared" ref="I284:I309" si="39">G284+H284</f>
        <v>42625</v>
      </c>
      <c r="J284" s="36">
        <f t="shared" ref="J284:J309" si="40">IF(G284=0,100%,(I284-G284)/G284)</f>
        <v>0.54298642533936647</v>
      </c>
      <c r="K284" s="48" t="s">
        <v>14</v>
      </c>
      <c r="L284" s="48" t="s">
        <v>14</v>
      </c>
      <c r="M284" s="38">
        <v>42887</v>
      </c>
      <c r="N284" s="48" t="s">
        <v>28</v>
      </c>
      <c r="O284" s="35">
        <v>15000</v>
      </c>
      <c r="P284" s="35"/>
      <c r="Q284" s="35"/>
      <c r="R284" s="35"/>
      <c r="S284" s="58"/>
      <c r="T284" s="58"/>
    </row>
    <row r="285" spans="1:20" s="15" customFormat="1" ht="26.25" customHeight="1" x14ac:dyDescent="0.2">
      <c r="A285" s="43" t="s">
        <v>860</v>
      </c>
      <c r="B285" s="46" t="s">
        <v>69</v>
      </c>
      <c r="C285" s="44" t="s">
        <v>862</v>
      </c>
      <c r="D285" s="47">
        <v>14197</v>
      </c>
      <c r="E285" s="46" t="s">
        <v>866</v>
      </c>
      <c r="F285" s="35">
        <f>12638+5000+5000</f>
        <v>22638</v>
      </c>
      <c r="G285" s="35">
        <f>12638+5000+5000</f>
        <v>22638</v>
      </c>
      <c r="H285" s="35">
        <v>0</v>
      </c>
      <c r="I285" s="35">
        <f t="shared" si="39"/>
        <v>22638</v>
      </c>
      <c r="J285" s="36">
        <f t="shared" si="40"/>
        <v>0</v>
      </c>
      <c r="K285" s="48" t="s">
        <v>14</v>
      </c>
      <c r="L285" s="48" t="s">
        <v>15</v>
      </c>
      <c r="M285" s="38">
        <v>43160</v>
      </c>
      <c r="N285" s="48" t="s">
        <v>18</v>
      </c>
      <c r="O285" s="35">
        <v>12638</v>
      </c>
      <c r="P285" s="35">
        <v>5000</v>
      </c>
      <c r="Q285" s="35">
        <v>5000</v>
      </c>
      <c r="R285" s="35"/>
      <c r="S285" s="58"/>
      <c r="T285" s="58"/>
    </row>
    <row r="286" spans="1:20" s="15" customFormat="1" ht="26.25" customHeight="1" x14ac:dyDescent="0.2">
      <c r="A286" s="43" t="s">
        <v>861</v>
      </c>
      <c r="B286" s="46" t="s">
        <v>25</v>
      </c>
      <c r="C286" s="44" t="s">
        <v>863</v>
      </c>
      <c r="D286" s="47">
        <v>14183</v>
      </c>
      <c r="E286" s="46" t="s">
        <v>867</v>
      </c>
      <c r="F286" s="35">
        <v>49000</v>
      </c>
      <c r="G286" s="35">
        <v>49000</v>
      </c>
      <c r="H286" s="35">
        <v>0</v>
      </c>
      <c r="I286" s="35">
        <f t="shared" si="39"/>
        <v>49000</v>
      </c>
      <c r="J286" s="36">
        <f t="shared" si="40"/>
        <v>0</v>
      </c>
      <c r="K286" s="48" t="s">
        <v>14</v>
      </c>
      <c r="L286" s="48" t="s">
        <v>14</v>
      </c>
      <c r="M286" s="38">
        <v>42916</v>
      </c>
      <c r="N286" s="48"/>
      <c r="O286" s="35">
        <v>49000</v>
      </c>
      <c r="P286" s="35"/>
      <c r="Q286" s="35"/>
      <c r="R286" s="35"/>
      <c r="S286" s="58"/>
      <c r="T286" s="58"/>
    </row>
    <row r="287" spans="1:20" s="15" customFormat="1" ht="26.25" customHeight="1" x14ac:dyDescent="0.2">
      <c r="A287" s="43" t="s">
        <v>868</v>
      </c>
      <c r="B287" s="46" t="s">
        <v>69</v>
      </c>
      <c r="C287" s="44" t="s">
        <v>562</v>
      </c>
      <c r="D287" s="47">
        <v>14167</v>
      </c>
      <c r="E287" s="46" t="s">
        <v>874</v>
      </c>
      <c r="F287" s="35">
        <v>99540</v>
      </c>
      <c r="G287" s="35">
        <v>99540</v>
      </c>
      <c r="H287" s="35">
        <v>0</v>
      </c>
      <c r="I287" s="35">
        <f t="shared" si="39"/>
        <v>99540</v>
      </c>
      <c r="J287" s="36">
        <f t="shared" si="40"/>
        <v>0</v>
      </c>
      <c r="K287" s="48" t="s">
        <v>14</v>
      </c>
      <c r="L287" s="48" t="s">
        <v>15</v>
      </c>
      <c r="M287" s="38">
        <v>43160</v>
      </c>
      <c r="N287" s="48"/>
      <c r="O287" s="35">
        <v>99540</v>
      </c>
      <c r="P287" s="35"/>
      <c r="Q287" s="35"/>
      <c r="R287" s="35"/>
      <c r="S287" s="58"/>
      <c r="T287" s="58"/>
    </row>
    <row r="288" spans="1:20" s="15" customFormat="1" ht="26.25" customHeight="1" x14ac:dyDescent="0.2">
      <c r="A288" s="43" t="s">
        <v>869</v>
      </c>
      <c r="B288" s="46" t="s">
        <v>69</v>
      </c>
      <c r="C288" s="44" t="s">
        <v>562</v>
      </c>
      <c r="D288" s="47">
        <v>14168</v>
      </c>
      <c r="E288" s="46" t="s">
        <v>873</v>
      </c>
      <c r="F288" s="35">
        <v>99540</v>
      </c>
      <c r="G288" s="35">
        <v>99540</v>
      </c>
      <c r="H288" s="35">
        <v>0</v>
      </c>
      <c r="I288" s="35">
        <f t="shared" si="39"/>
        <v>99540</v>
      </c>
      <c r="J288" s="36">
        <f t="shared" si="40"/>
        <v>0</v>
      </c>
      <c r="K288" s="48" t="s">
        <v>14</v>
      </c>
      <c r="L288" s="48" t="s">
        <v>15</v>
      </c>
      <c r="M288" s="38">
        <v>43160</v>
      </c>
      <c r="N288" s="48"/>
      <c r="O288" s="35">
        <v>99540</v>
      </c>
      <c r="P288" s="35"/>
      <c r="Q288" s="35"/>
      <c r="R288" s="35"/>
      <c r="S288" s="58"/>
      <c r="T288" s="58"/>
    </row>
    <row r="289" spans="1:20" s="15" customFormat="1" ht="26.25" customHeight="1" x14ac:dyDescent="0.2">
      <c r="A289" s="43" t="s">
        <v>870</v>
      </c>
      <c r="B289" s="46" t="s">
        <v>21</v>
      </c>
      <c r="C289" s="44" t="s">
        <v>871</v>
      </c>
      <c r="D289" s="47">
        <v>14177</v>
      </c>
      <c r="E289" s="46" t="s">
        <v>872</v>
      </c>
      <c r="F289" s="35">
        <f>80000*3</f>
        <v>240000</v>
      </c>
      <c r="G289" s="35">
        <f>80000*3</f>
        <v>240000</v>
      </c>
      <c r="H289" s="35">
        <v>0</v>
      </c>
      <c r="I289" s="35">
        <f t="shared" si="39"/>
        <v>240000</v>
      </c>
      <c r="J289" s="36">
        <f t="shared" si="40"/>
        <v>0</v>
      </c>
      <c r="K289" s="48" t="s">
        <v>14</v>
      </c>
      <c r="L289" s="48" t="s">
        <v>15</v>
      </c>
      <c r="M289" s="38">
        <v>42916</v>
      </c>
      <c r="N289" s="48" t="s">
        <v>18</v>
      </c>
      <c r="O289" s="35">
        <v>80000</v>
      </c>
      <c r="P289" s="35">
        <v>80000</v>
      </c>
      <c r="Q289" s="35">
        <v>80000</v>
      </c>
      <c r="R289" s="35"/>
      <c r="S289" s="58"/>
      <c r="T289" s="58"/>
    </row>
    <row r="290" spans="1:20" s="15" customFormat="1" ht="26.25" customHeight="1" x14ac:dyDescent="0.2">
      <c r="A290" s="43" t="s">
        <v>875</v>
      </c>
      <c r="B290" s="46" t="s">
        <v>30</v>
      </c>
      <c r="C290" s="44" t="s">
        <v>47</v>
      </c>
      <c r="D290" s="47">
        <v>13792</v>
      </c>
      <c r="E290" s="46" t="s">
        <v>882</v>
      </c>
      <c r="F290" s="35">
        <f>43500+15000+15000</f>
        <v>73500</v>
      </c>
      <c r="G290" s="35">
        <f>43500+15000+15000</f>
        <v>73500</v>
      </c>
      <c r="H290" s="35">
        <v>0</v>
      </c>
      <c r="I290" s="35">
        <f t="shared" si="39"/>
        <v>73500</v>
      </c>
      <c r="J290" s="36">
        <f t="shared" si="40"/>
        <v>0</v>
      </c>
      <c r="K290" s="48" t="s">
        <v>14</v>
      </c>
      <c r="L290" s="48" t="s">
        <v>15</v>
      </c>
      <c r="M290" s="38">
        <v>43847</v>
      </c>
      <c r="N290" s="48" t="s">
        <v>18</v>
      </c>
      <c r="O290" s="35">
        <v>43500</v>
      </c>
      <c r="P290" s="35"/>
      <c r="Q290" s="35"/>
      <c r="R290" s="35"/>
      <c r="S290" s="35">
        <v>15000</v>
      </c>
      <c r="T290" s="35">
        <v>15000</v>
      </c>
    </row>
    <row r="291" spans="1:20" s="15" customFormat="1" ht="18" customHeight="1" x14ac:dyDescent="0.2">
      <c r="A291" s="43" t="s">
        <v>876</v>
      </c>
      <c r="B291" s="46" t="s">
        <v>30</v>
      </c>
      <c r="C291" s="44" t="s">
        <v>880</v>
      </c>
      <c r="D291" s="47">
        <v>13985</v>
      </c>
      <c r="E291" s="46" t="s">
        <v>883</v>
      </c>
      <c r="F291" s="35">
        <f>25025*3</f>
        <v>75075</v>
      </c>
      <c r="G291" s="35">
        <f>25025*3</f>
        <v>75075</v>
      </c>
      <c r="H291" s="35">
        <v>0</v>
      </c>
      <c r="I291" s="35">
        <f t="shared" si="39"/>
        <v>75075</v>
      </c>
      <c r="J291" s="36">
        <f t="shared" si="40"/>
        <v>0</v>
      </c>
      <c r="K291" s="48" t="s">
        <v>14</v>
      </c>
      <c r="L291" s="48" t="s">
        <v>15</v>
      </c>
      <c r="M291" s="38">
        <v>43159</v>
      </c>
      <c r="N291" s="48" t="s">
        <v>18</v>
      </c>
      <c r="O291" s="35">
        <v>25025</v>
      </c>
      <c r="P291" s="35">
        <v>25025</v>
      </c>
      <c r="Q291" s="35">
        <v>25025</v>
      </c>
      <c r="R291" s="35"/>
      <c r="S291" s="58"/>
      <c r="T291" s="58"/>
    </row>
    <row r="292" spans="1:20" s="15" customFormat="1" ht="26.25" customHeight="1" x14ac:dyDescent="0.2">
      <c r="A292" s="43" t="s">
        <v>877</v>
      </c>
      <c r="B292" s="46" t="s">
        <v>23</v>
      </c>
      <c r="C292" s="44" t="s">
        <v>509</v>
      </c>
      <c r="D292" s="54" t="s">
        <v>881</v>
      </c>
      <c r="E292" s="46" t="s">
        <v>884</v>
      </c>
      <c r="F292" s="35">
        <f>7500+7500</f>
        <v>15000</v>
      </c>
      <c r="G292" s="35">
        <v>15000</v>
      </c>
      <c r="H292" s="35">
        <f>7500+7500</f>
        <v>15000</v>
      </c>
      <c r="I292" s="35">
        <f t="shared" si="39"/>
        <v>30000</v>
      </c>
      <c r="J292" s="36">
        <f t="shared" si="40"/>
        <v>1</v>
      </c>
      <c r="K292" s="48" t="s">
        <v>14</v>
      </c>
      <c r="L292" s="48" t="s">
        <v>14</v>
      </c>
      <c r="M292" s="38">
        <v>42916</v>
      </c>
      <c r="N292" s="48" t="s">
        <v>28</v>
      </c>
      <c r="O292" s="35">
        <v>7500</v>
      </c>
      <c r="P292" s="35">
        <v>7500</v>
      </c>
      <c r="Q292" s="35"/>
      <c r="R292" s="35"/>
      <c r="S292" s="58"/>
      <c r="T292" s="58"/>
    </row>
    <row r="293" spans="1:20" s="15" customFormat="1" ht="26.25" customHeight="1" x14ac:dyDescent="0.2">
      <c r="A293" s="43" t="s">
        <v>878</v>
      </c>
      <c r="B293" s="46" t="s">
        <v>19</v>
      </c>
      <c r="C293" s="44" t="s">
        <v>46</v>
      </c>
      <c r="D293" s="47">
        <v>14195</v>
      </c>
      <c r="E293" s="46" t="s">
        <v>885</v>
      </c>
      <c r="F293" s="35">
        <v>4647</v>
      </c>
      <c r="G293" s="35">
        <v>20000</v>
      </c>
      <c r="H293" s="35">
        <v>4647</v>
      </c>
      <c r="I293" s="35">
        <f t="shared" si="39"/>
        <v>24647</v>
      </c>
      <c r="J293" s="36">
        <f t="shared" si="40"/>
        <v>0.23235</v>
      </c>
      <c r="K293" s="48" t="s">
        <v>14</v>
      </c>
      <c r="L293" s="48" t="s">
        <v>14</v>
      </c>
      <c r="M293" s="38">
        <v>42916</v>
      </c>
      <c r="N293" s="48" t="s">
        <v>28</v>
      </c>
      <c r="O293" s="35">
        <v>4647</v>
      </c>
      <c r="P293" s="35"/>
      <c r="Q293" s="35"/>
      <c r="R293" s="35"/>
      <c r="S293" s="58"/>
      <c r="T293" s="58"/>
    </row>
    <row r="294" spans="1:20" s="15" customFormat="1" ht="26.25" customHeight="1" x14ac:dyDescent="0.2">
      <c r="A294" s="43" t="s">
        <v>879</v>
      </c>
      <c r="B294" s="46" t="s">
        <v>19</v>
      </c>
      <c r="C294" s="44" t="s">
        <v>128</v>
      </c>
      <c r="D294" s="47">
        <v>14236</v>
      </c>
      <c r="E294" s="46" t="s">
        <v>886</v>
      </c>
      <c r="F294" s="35">
        <v>11398</v>
      </c>
      <c r="G294" s="35">
        <v>11398</v>
      </c>
      <c r="H294" s="35">
        <v>0</v>
      </c>
      <c r="I294" s="35">
        <f t="shared" si="39"/>
        <v>11398</v>
      </c>
      <c r="J294" s="36">
        <f t="shared" si="40"/>
        <v>0</v>
      </c>
      <c r="K294" s="48" t="s">
        <v>14</v>
      </c>
      <c r="L294" s="48" t="s">
        <v>14</v>
      </c>
      <c r="M294" s="38">
        <v>42671</v>
      </c>
      <c r="N294" s="48"/>
      <c r="O294" s="35">
        <v>11398</v>
      </c>
      <c r="P294" s="35"/>
      <c r="Q294" s="35"/>
      <c r="R294" s="35"/>
      <c r="S294" s="58"/>
      <c r="T294" s="58"/>
    </row>
    <row r="295" spans="1:20" s="15" customFormat="1" ht="26.25" customHeight="1" x14ac:dyDescent="0.2">
      <c r="A295" s="43" t="s">
        <v>887</v>
      </c>
      <c r="B295" s="46" t="s">
        <v>62</v>
      </c>
      <c r="C295" s="44" t="s">
        <v>891</v>
      </c>
      <c r="D295" s="47">
        <v>14229</v>
      </c>
      <c r="E295" s="46" t="s">
        <v>894</v>
      </c>
      <c r="F295" s="35">
        <v>60000</v>
      </c>
      <c r="G295" s="35">
        <v>60000</v>
      </c>
      <c r="H295" s="35">
        <v>0</v>
      </c>
      <c r="I295" s="35">
        <f t="shared" si="39"/>
        <v>60000</v>
      </c>
      <c r="J295" s="36">
        <f t="shared" si="40"/>
        <v>0</v>
      </c>
      <c r="K295" s="48" t="s">
        <v>14</v>
      </c>
      <c r="L295" s="48" t="s">
        <v>14</v>
      </c>
      <c r="M295" s="38">
        <v>42960</v>
      </c>
      <c r="N295" s="48"/>
      <c r="O295" s="35">
        <v>60000</v>
      </c>
      <c r="P295" s="35"/>
      <c r="Q295" s="35"/>
      <c r="R295" s="35"/>
      <c r="S295" s="58"/>
      <c r="T295" s="58"/>
    </row>
    <row r="296" spans="1:20" s="15" customFormat="1" ht="26.25" customHeight="1" x14ac:dyDescent="0.2">
      <c r="A296" s="43" t="s">
        <v>888</v>
      </c>
      <c r="B296" s="46" t="s">
        <v>22</v>
      </c>
      <c r="C296" s="44" t="s">
        <v>892</v>
      </c>
      <c r="D296" s="47">
        <v>14266</v>
      </c>
      <c r="E296" s="46" t="s">
        <v>897</v>
      </c>
      <c r="F296" s="35">
        <f>49000+98000+98000</f>
        <v>245000</v>
      </c>
      <c r="G296" s="35">
        <f>49000+98000+98000</f>
        <v>245000</v>
      </c>
      <c r="H296" s="35">
        <v>0</v>
      </c>
      <c r="I296" s="35">
        <f t="shared" si="39"/>
        <v>245000</v>
      </c>
      <c r="J296" s="36">
        <f t="shared" si="40"/>
        <v>0</v>
      </c>
      <c r="K296" s="48" t="s">
        <v>14</v>
      </c>
      <c r="L296" s="48" t="s">
        <v>14</v>
      </c>
      <c r="M296" s="38">
        <v>42916</v>
      </c>
      <c r="N296" s="48" t="s">
        <v>18</v>
      </c>
      <c r="O296" s="35">
        <v>49000</v>
      </c>
      <c r="P296" s="35">
        <v>98000</v>
      </c>
      <c r="Q296" s="35">
        <v>98000</v>
      </c>
      <c r="R296" s="35"/>
      <c r="S296" s="58"/>
      <c r="T296" s="58"/>
    </row>
    <row r="297" spans="1:20" s="15" customFormat="1" ht="26.25" customHeight="1" x14ac:dyDescent="0.2">
      <c r="A297" s="43" t="s">
        <v>889</v>
      </c>
      <c r="B297" s="46" t="s">
        <v>22</v>
      </c>
      <c r="C297" s="44" t="s">
        <v>893</v>
      </c>
      <c r="D297" s="47">
        <v>14265</v>
      </c>
      <c r="E297" s="46" t="s">
        <v>896</v>
      </c>
      <c r="F297" s="35">
        <f>99850*3</f>
        <v>299550</v>
      </c>
      <c r="G297" s="35">
        <f>99850*3</f>
        <v>299550</v>
      </c>
      <c r="H297" s="35">
        <v>0</v>
      </c>
      <c r="I297" s="35">
        <f t="shared" si="39"/>
        <v>299550</v>
      </c>
      <c r="J297" s="36">
        <f t="shared" si="40"/>
        <v>0</v>
      </c>
      <c r="K297" s="48" t="s">
        <v>14</v>
      </c>
      <c r="L297" s="48" t="s">
        <v>14</v>
      </c>
      <c r="M297" s="38">
        <v>42916</v>
      </c>
      <c r="N297" s="48" t="s">
        <v>18</v>
      </c>
      <c r="O297" s="35">
        <v>99850</v>
      </c>
      <c r="P297" s="35">
        <v>99850</v>
      </c>
      <c r="Q297" s="35">
        <v>99850</v>
      </c>
      <c r="R297" s="35"/>
      <c r="S297" s="58"/>
      <c r="T297" s="58"/>
    </row>
    <row r="298" spans="1:20" s="15" customFormat="1" ht="26.25" customHeight="1" x14ac:dyDescent="0.2">
      <c r="A298" s="43" t="s">
        <v>890</v>
      </c>
      <c r="B298" s="46" t="s">
        <v>23</v>
      </c>
      <c r="C298" s="44" t="s">
        <v>40</v>
      </c>
      <c r="D298" s="47">
        <v>14203</v>
      </c>
      <c r="E298" s="46" t="s">
        <v>895</v>
      </c>
      <c r="F298" s="35">
        <f>18000+18000</f>
        <v>36000</v>
      </c>
      <c r="G298" s="35">
        <v>36930</v>
      </c>
      <c r="H298" s="35">
        <f>18000+18000</f>
        <v>36000</v>
      </c>
      <c r="I298" s="35">
        <f t="shared" si="39"/>
        <v>72930</v>
      </c>
      <c r="J298" s="36">
        <f t="shared" si="40"/>
        <v>0.97481722177091801</v>
      </c>
      <c r="K298" s="48" t="s">
        <v>14</v>
      </c>
      <c r="L298" s="48" t="s">
        <v>14</v>
      </c>
      <c r="M298" s="38">
        <v>42916</v>
      </c>
      <c r="N298" s="48" t="s">
        <v>28</v>
      </c>
      <c r="O298" s="35">
        <v>18000</v>
      </c>
      <c r="P298" s="35">
        <v>18000</v>
      </c>
      <c r="Q298" s="35"/>
      <c r="R298" s="35"/>
      <c r="S298" s="58"/>
      <c r="T298" s="58"/>
    </row>
    <row r="299" spans="1:20" s="15" customFormat="1" ht="26.25" customHeight="1" x14ac:dyDescent="0.2">
      <c r="A299" s="43" t="s">
        <v>898</v>
      </c>
      <c r="B299" s="46" t="s">
        <v>23</v>
      </c>
      <c r="C299" s="44" t="s">
        <v>902</v>
      </c>
      <c r="D299" s="54" t="s">
        <v>906</v>
      </c>
      <c r="E299" s="46" t="s">
        <v>907</v>
      </c>
      <c r="F299" s="35">
        <f>8000+8000</f>
        <v>16000</v>
      </c>
      <c r="G299" s="35">
        <v>34577</v>
      </c>
      <c r="H299" s="35">
        <f>8000+8000</f>
        <v>16000</v>
      </c>
      <c r="I299" s="35">
        <f t="shared" si="39"/>
        <v>50577</v>
      </c>
      <c r="J299" s="36">
        <f t="shared" si="40"/>
        <v>0.46273534430401714</v>
      </c>
      <c r="K299" s="48" t="s">
        <v>14</v>
      </c>
      <c r="L299" s="48" t="s">
        <v>14</v>
      </c>
      <c r="M299" s="38">
        <v>42916</v>
      </c>
      <c r="N299" s="48" t="s">
        <v>28</v>
      </c>
      <c r="O299" s="35">
        <v>8000</v>
      </c>
      <c r="P299" s="35">
        <v>8000</v>
      </c>
      <c r="Q299" s="35"/>
      <c r="R299" s="35"/>
      <c r="S299" s="58"/>
      <c r="T299" s="58"/>
    </row>
    <row r="300" spans="1:20" s="15" customFormat="1" ht="26.25" customHeight="1" x14ac:dyDescent="0.2">
      <c r="A300" s="43" t="s">
        <v>899</v>
      </c>
      <c r="B300" s="46" t="s">
        <v>21</v>
      </c>
      <c r="C300" s="44" t="s">
        <v>903</v>
      </c>
      <c r="D300" s="47">
        <v>14237</v>
      </c>
      <c r="E300" s="46" t="s">
        <v>908</v>
      </c>
      <c r="F300" s="35">
        <f>48000*2</f>
        <v>96000</v>
      </c>
      <c r="G300" s="35">
        <f>48000*2</f>
        <v>96000</v>
      </c>
      <c r="H300" s="35">
        <v>0</v>
      </c>
      <c r="I300" s="35">
        <f t="shared" si="39"/>
        <v>96000</v>
      </c>
      <c r="J300" s="36">
        <f t="shared" si="40"/>
        <v>0</v>
      </c>
      <c r="K300" s="48" t="s">
        <v>14</v>
      </c>
      <c r="L300" s="48" t="s">
        <v>14</v>
      </c>
      <c r="M300" s="38">
        <v>42916</v>
      </c>
      <c r="N300" s="48" t="s">
        <v>18</v>
      </c>
      <c r="O300" s="35">
        <v>48000</v>
      </c>
      <c r="P300" s="35">
        <v>48000</v>
      </c>
      <c r="Q300" s="35"/>
      <c r="R300" s="35"/>
      <c r="S300" s="58"/>
      <c r="T300" s="58"/>
    </row>
    <row r="301" spans="1:20" s="15" customFormat="1" ht="26.25" customHeight="1" x14ac:dyDescent="0.2">
      <c r="A301" s="43" t="s">
        <v>900</v>
      </c>
      <c r="B301" s="46" t="s">
        <v>31</v>
      </c>
      <c r="C301" s="44" t="s">
        <v>904</v>
      </c>
      <c r="D301" s="47">
        <v>14258</v>
      </c>
      <c r="E301" s="46" t="s">
        <v>909</v>
      </c>
      <c r="F301" s="35">
        <v>10950</v>
      </c>
      <c r="G301" s="35">
        <v>10950</v>
      </c>
      <c r="H301" s="35">
        <v>0</v>
      </c>
      <c r="I301" s="35">
        <f t="shared" si="39"/>
        <v>10950</v>
      </c>
      <c r="J301" s="36">
        <f t="shared" si="40"/>
        <v>0</v>
      </c>
      <c r="K301" s="48" t="s">
        <v>14</v>
      </c>
      <c r="L301" s="48" t="s">
        <v>15</v>
      </c>
      <c r="M301" s="38">
        <v>43220</v>
      </c>
      <c r="N301" s="48"/>
      <c r="O301" s="35">
        <v>10950</v>
      </c>
      <c r="P301" s="35"/>
      <c r="Q301" s="35"/>
      <c r="R301" s="35"/>
      <c r="S301" s="58"/>
      <c r="T301" s="58"/>
    </row>
    <row r="302" spans="1:20" s="15" customFormat="1" ht="26.25" customHeight="1" x14ac:dyDescent="0.2">
      <c r="A302" s="43" t="s">
        <v>901</v>
      </c>
      <c r="B302" s="46" t="s">
        <v>69</v>
      </c>
      <c r="C302" s="44" t="s">
        <v>905</v>
      </c>
      <c r="D302" s="47">
        <v>14280</v>
      </c>
      <c r="E302" s="46" t="s">
        <v>910</v>
      </c>
      <c r="F302" s="35">
        <f>20519*3</f>
        <v>61557</v>
      </c>
      <c r="G302" s="35">
        <f>20519*3</f>
        <v>61557</v>
      </c>
      <c r="H302" s="35">
        <v>0</v>
      </c>
      <c r="I302" s="35">
        <f t="shared" si="39"/>
        <v>61557</v>
      </c>
      <c r="J302" s="36">
        <f t="shared" si="40"/>
        <v>0</v>
      </c>
      <c r="K302" s="48" t="s">
        <v>14</v>
      </c>
      <c r="L302" s="48" t="s">
        <v>14</v>
      </c>
      <c r="M302" s="38">
        <v>43111</v>
      </c>
      <c r="N302" s="48" t="s">
        <v>18</v>
      </c>
      <c r="O302" s="35">
        <v>20519</v>
      </c>
      <c r="P302" s="35">
        <v>20519</v>
      </c>
      <c r="Q302" s="35">
        <v>20519</v>
      </c>
      <c r="R302" s="35"/>
      <c r="S302" s="58"/>
      <c r="T302" s="58"/>
    </row>
    <row r="303" spans="1:20" s="15" customFormat="1" ht="26.25" customHeight="1" x14ac:dyDescent="0.2">
      <c r="A303" s="43" t="s">
        <v>911</v>
      </c>
      <c r="B303" s="46" t="s">
        <v>92</v>
      </c>
      <c r="C303" s="44" t="s">
        <v>913</v>
      </c>
      <c r="D303" s="54" t="s">
        <v>914</v>
      </c>
      <c r="E303" s="46" t="s">
        <v>915</v>
      </c>
      <c r="F303" s="35">
        <v>6000</v>
      </c>
      <c r="G303" s="35">
        <v>90000</v>
      </c>
      <c r="H303" s="35">
        <f>5000+90000+6000</f>
        <v>101000</v>
      </c>
      <c r="I303" s="35">
        <f t="shared" si="39"/>
        <v>191000</v>
      </c>
      <c r="J303" s="36">
        <f t="shared" si="40"/>
        <v>1.1222222222222222</v>
      </c>
      <c r="K303" s="48" t="s">
        <v>14</v>
      </c>
      <c r="L303" s="48" t="s">
        <v>14</v>
      </c>
      <c r="M303" s="38">
        <v>42916</v>
      </c>
      <c r="N303" s="48" t="s">
        <v>28</v>
      </c>
      <c r="O303" s="35">
        <v>6000</v>
      </c>
      <c r="P303" s="35"/>
      <c r="Q303" s="35"/>
      <c r="R303" s="35"/>
      <c r="S303" s="58"/>
      <c r="T303" s="58"/>
    </row>
    <row r="304" spans="1:20" s="15" customFormat="1" ht="26.25" customHeight="1" x14ac:dyDescent="0.2">
      <c r="A304" s="43" t="s">
        <v>912</v>
      </c>
      <c r="B304" s="46" t="s">
        <v>69</v>
      </c>
      <c r="C304" s="44" t="s">
        <v>849</v>
      </c>
      <c r="D304" s="47">
        <v>14240</v>
      </c>
      <c r="E304" s="46" t="s">
        <v>916</v>
      </c>
      <c r="F304" s="35">
        <v>85000</v>
      </c>
      <c r="G304" s="35">
        <v>85000</v>
      </c>
      <c r="H304" s="35">
        <v>0</v>
      </c>
      <c r="I304" s="35">
        <f t="shared" si="39"/>
        <v>85000</v>
      </c>
      <c r="J304" s="36">
        <f t="shared" si="40"/>
        <v>0</v>
      </c>
      <c r="K304" s="48" t="s">
        <v>14</v>
      </c>
      <c r="L304" s="48" t="s">
        <v>15</v>
      </c>
      <c r="M304" s="38">
        <v>43160</v>
      </c>
      <c r="N304" s="48"/>
      <c r="O304" s="35">
        <v>85000</v>
      </c>
      <c r="P304" s="35"/>
      <c r="Q304" s="35"/>
      <c r="R304" s="35"/>
      <c r="S304" s="58"/>
      <c r="T304" s="58"/>
    </row>
    <row r="305" spans="1:20" s="15" customFormat="1" ht="26.25" customHeight="1" x14ac:dyDescent="0.2">
      <c r="A305" s="43" t="s">
        <v>917</v>
      </c>
      <c r="B305" s="46" t="s">
        <v>17</v>
      </c>
      <c r="C305" s="44" t="s">
        <v>172</v>
      </c>
      <c r="D305" s="47">
        <v>14310</v>
      </c>
      <c r="E305" s="46" t="s">
        <v>181</v>
      </c>
      <c r="F305" s="35">
        <f>14000*3</f>
        <v>42000</v>
      </c>
      <c r="G305" s="35">
        <v>35000</v>
      </c>
      <c r="H305" s="35">
        <f>14000*3</f>
        <v>42000</v>
      </c>
      <c r="I305" s="35">
        <f t="shared" si="39"/>
        <v>77000</v>
      </c>
      <c r="J305" s="36">
        <f t="shared" si="40"/>
        <v>1.2</v>
      </c>
      <c r="K305" s="48" t="s">
        <v>14</v>
      </c>
      <c r="L305" s="48" t="s">
        <v>14</v>
      </c>
      <c r="M305" s="38">
        <v>42916</v>
      </c>
      <c r="N305" s="48" t="s">
        <v>18</v>
      </c>
      <c r="O305" s="35">
        <v>14000</v>
      </c>
      <c r="P305" s="35">
        <v>14000</v>
      </c>
      <c r="Q305" s="35">
        <v>14000</v>
      </c>
      <c r="R305" s="35"/>
      <c r="S305" s="58"/>
      <c r="T305" s="58"/>
    </row>
    <row r="306" spans="1:20" s="15" customFormat="1" ht="26.25" customHeight="1" x14ac:dyDescent="0.2">
      <c r="A306" s="43" t="s">
        <v>918</v>
      </c>
      <c r="B306" s="46" t="s">
        <v>69</v>
      </c>
      <c r="C306" s="44" t="s">
        <v>922</v>
      </c>
      <c r="D306" s="47">
        <v>14327</v>
      </c>
      <c r="E306" s="46" t="s">
        <v>925</v>
      </c>
      <c r="F306" s="35">
        <v>47823</v>
      </c>
      <c r="G306" s="35">
        <v>47823</v>
      </c>
      <c r="H306" s="35">
        <v>0</v>
      </c>
      <c r="I306" s="35">
        <f t="shared" si="39"/>
        <v>47823</v>
      </c>
      <c r="J306" s="36">
        <f t="shared" si="40"/>
        <v>0</v>
      </c>
      <c r="K306" s="48" t="s">
        <v>14</v>
      </c>
      <c r="L306" s="48" t="s">
        <v>14</v>
      </c>
      <c r="M306" s="38">
        <v>42825</v>
      </c>
      <c r="N306" s="48"/>
      <c r="O306" s="35">
        <v>47823</v>
      </c>
      <c r="P306" s="35"/>
      <c r="Q306" s="35"/>
      <c r="R306" s="35"/>
      <c r="S306" s="58"/>
      <c r="T306" s="58"/>
    </row>
    <row r="307" spans="1:20" s="15" customFormat="1" ht="26.25" customHeight="1" x14ac:dyDescent="0.2">
      <c r="A307" s="43" t="s">
        <v>919</v>
      </c>
      <c r="B307" s="46" t="s">
        <v>25</v>
      </c>
      <c r="C307" s="44" t="s">
        <v>923</v>
      </c>
      <c r="D307" s="47">
        <v>14329</v>
      </c>
      <c r="E307" s="46" t="s">
        <v>926</v>
      </c>
      <c r="F307" s="35">
        <v>30000</v>
      </c>
      <c r="G307" s="35">
        <v>30000</v>
      </c>
      <c r="H307" s="35">
        <v>0</v>
      </c>
      <c r="I307" s="35">
        <f t="shared" si="39"/>
        <v>30000</v>
      </c>
      <c r="J307" s="36">
        <f t="shared" si="40"/>
        <v>0</v>
      </c>
      <c r="K307" s="48" t="s">
        <v>14</v>
      </c>
      <c r="L307" s="48" t="s">
        <v>14</v>
      </c>
      <c r="M307" s="38">
        <v>42916</v>
      </c>
      <c r="N307" s="48"/>
      <c r="O307" s="35">
        <v>30000</v>
      </c>
      <c r="P307" s="35"/>
      <c r="Q307" s="35"/>
      <c r="R307" s="35"/>
      <c r="S307" s="58"/>
      <c r="T307" s="58"/>
    </row>
    <row r="308" spans="1:20" s="15" customFormat="1" ht="26.25" customHeight="1" x14ac:dyDescent="0.2">
      <c r="A308" s="43" t="s">
        <v>920</v>
      </c>
      <c r="B308" s="46" t="s">
        <v>21</v>
      </c>
      <c r="C308" s="44" t="s">
        <v>924</v>
      </c>
      <c r="D308" s="47">
        <v>14445</v>
      </c>
      <c r="E308" s="46" t="s">
        <v>927</v>
      </c>
      <c r="F308" s="35">
        <v>5895</v>
      </c>
      <c r="G308" s="35">
        <v>5895</v>
      </c>
      <c r="H308" s="35">
        <v>0</v>
      </c>
      <c r="I308" s="35">
        <f t="shared" si="39"/>
        <v>5895</v>
      </c>
      <c r="J308" s="36">
        <f t="shared" si="40"/>
        <v>0</v>
      </c>
      <c r="K308" s="48" t="s">
        <v>14</v>
      </c>
      <c r="L308" s="48" t="s">
        <v>14</v>
      </c>
      <c r="M308" s="38">
        <v>42734</v>
      </c>
      <c r="N308" s="48"/>
      <c r="O308" s="35">
        <v>5895</v>
      </c>
      <c r="P308" s="35"/>
      <c r="Q308" s="35"/>
      <c r="R308" s="35"/>
      <c r="S308" s="58"/>
      <c r="T308" s="58"/>
    </row>
    <row r="309" spans="1:20" s="15" customFormat="1" ht="26.25" customHeight="1" x14ac:dyDescent="0.2">
      <c r="A309" s="43" t="s">
        <v>921</v>
      </c>
      <c r="B309" s="46" t="s">
        <v>21</v>
      </c>
      <c r="C309" s="44" t="s">
        <v>924</v>
      </c>
      <c r="D309" s="47">
        <v>14458</v>
      </c>
      <c r="E309" s="46" t="s">
        <v>927</v>
      </c>
      <c r="F309" s="35">
        <v>11790</v>
      </c>
      <c r="G309" s="35">
        <v>11790</v>
      </c>
      <c r="H309" s="35">
        <v>0</v>
      </c>
      <c r="I309" s="35">
        <f t="shared" si="39"/>
        <v>11790</v>
      </c>
      <c r="J309" s="36">
        <f t="shared" si="40"/>
        <v>0</v>
      </c>
      <c r="K309" s="48" t="s">
        <v>14</v>
      </c>
      <c r="L309" s="48" t="s">
        <v>14</v>
      </c>
      <c r="M309" s="38">
        <v>42734</v>
      </c>
      <c r="N309" s="48"/>
      <c r="O309" s="35">
        <v>11790</v>
      </c>
      <c r="P309" s="35"/>
      <c r="Q309" s="35"/>
      <c r="R309" s="35"/>
      <c r="S309" s="58"/>
      <c r="T309" s="58"/>
    </row>
    <row r="310" spans="1:20" s="15" customFormat="1" ht="26.25" customHeight="1" x14ac:dyDescent="0.2">
      <c r="A310" s="43" t="s">
        <v>930</v>
      </c>
      <c r="B310" s="46" t="s">
        <v>214</v>
      </c>
      <c r="C310" s="44" t="s">
        <v>534</v>
      </c>
      <c r="D310" s="47">
        <v>14084</v>
      </c>
      <c r="E310" s="46" t="s">
        <v>949</v>
      </c>
      <c r="F310" s="35">
        <v>7500</v>
      </c>
      <c r="G310" s="35">
        <v>7500</v>
      </c>
      <c r="H310" s="35"/>
      <c r="I310" s="35">
        <f>G310+H310</f>
        <v>7500</v>
      </c>
      <c r="J310" s="36">
        <f>IF(G310=0,100%,(I310-G310)/G310)</f>
        <v>0</v>
      </c>
      <c r="K310" s="48" t="s">
        <v>14</v>
      </c>
      <c r="L310" s="48" t="s">
        <v>14</v>
      </c>
      <c r="M310" s="38">
        <v>42886</v>
      </c>
      <c r="N310" s="48"/>
      <c r="O310" s="35">
        <v>7500</v>
      </c>
      <c r="P310" s="35"/>
      <c r="Q310" s="35"/>
      <c r="R310" s="35"/>
      <c r="S310" s="58"/>
      <c r="T310" s="58"/>
    </row>
    <row r="311" spans="1:20" s="15" customFormat="1" ht="18" customHeight="1" x14ac:dyDescent="0.2">
      <c r="A311" s="43" t="s">
        <v>931</v>
      </c>
      <c r="B311" s="46" t="s">
        <v>21</v>
      </c>
      <c r="C311" s="44" t="s">
        <v>947</v>
      </c>
      <c r="D311" s="47">
        <v>14222</v>
      </c>
      <c r="E311" s="46" t="s">
        <v>950</v>
      </c>
      <c r="F311" s="35">
        <f>8000+8000</f>
        <v>16000</v>
      </c>
      <c r="G311" s="35">
        <v>16250</v>
      </c>
      <c r="H311" s="35">
        <f>8000+8000</f>
        <v>16000</v>
      </c>
      <c r="I311" s="35">
        <f>G311+H311</f>
        <v>32250</v>
      </c>
      <c r="J311" s="36">
        <f>IF(G311=0,100%,(I311-G311)/G311)</f>
        <v>0.98461538461538467</v>
      </c>
      <c r="K311" s="48" t="s">
        <v>14</v>
      </c>
      <c r="L311" s="48" t="s">
        <v>14</v>
      </c>
      <c r="M311" s="38">
        <v>42916</v>
      </c>
      <c r="N311" s="48" t="s">
        <v>28</v>
      </c>
      <c r="O311" s="35">
        <v>8000</v>
      </c>
      <c r="P311" s="35">
        <v>8000</v>
      </c>
      <c r="Q311" s="35"/>
      <c r="R311" s="35"/>
      <c r="S311" s="58"/>
      <c r="T311" s="58"/>
    </row>
    <row r="312" spans="1:20" s="15" customFormat="1" ht="26.25" customHeight="1" x14ac:dyDescent="0.2">
      <c r="A312" s="43" t="s">
        <v>932</v>
      </c>
      <c r="B312" s="46" t="s">
        <v>21</v>
      </c>
      <c r="C312" s="44" t="s">
        <v>948</v>
      </c>
      <c r="D312" s="47">
        <v>14363</v>
      </c>
      <c r="E312" s="46" t="s">
        <v>951</v>
      </c>
      <c r="F312" s="35">
        <v>6820</v>
      </c>
      <c r="G312" s="35">
        <v>6820</v>
      </c>
      <c r="H312" s="35">
        <v>0</v>
      </c>
      <c r="I312" s="35">
        <f>G312+H312</f>
        <v>6820</v>
      </c>
      <c r="J312" s="36">
        <f>IF(G312=0,100%,(I312-G312)/G312)</f>
        <v>0</v>
      </c>
      <c r="K312" s="48" t="s">
        <v>14</v>
      </c>
      <c r="L312" s="48" t="s">
        <v>15</v>
      </c>
      <c r="M312" s="38">
        <v>42916</v>
      </c>
      <c r="N312" s="48"/>
      <c r="O312" s="35">
        <v>6820</v>
      </c>
      <c r="P312" s="35"/>
      <c r="Q312" s="35"/>
      <c r="R312" s="35"/>
      <c r="S312" s="58"/>
      <c r="T312" s="58"/>
    </row>
    <row r="313" spans="1:20" s="15" customFormat="1" ht="26.25" customHeight="1" x14ac:dyDescent="0.2">
      <c r="A313" s="43" t="s">
        <v>933</v>
      </c>
      <c r="B313" s="46" t="s">
        <v>21</v>
      </c>
      <c r="C313" s="44" t="s">
        <v>511</v>
      </c>
      <c r="D313" s="47">
        <v>14057</v>
      </c>
      <c r="E313" s="46" t="s">
        <v>1184</v>
      </c>
      <c r="F313" s="35">
        <f>99000*3</f>
        <v>297000</v>
      </c>
      <c r="G313" s="35">
        <f>99000*3</f>
        <v>297000</v>
      </c>
      <c r="H313" s="35">
        <v>0</v>
      </c>
      <c r="I313" s="35">
        <f t="shared" ref="I313:I326" si="41">G313+H313</f>
        <v>297000</v>
      </c>
      <c r="J313" s="36">
        <f t="shared" ref="J313:J326" si="42">IF(G313=0,100%,(I313-G313)/G313)</f>
        <v>0</v>
      </c>
      <c r="K313" s="48" t="s">
        <v>14</v>
      </c>
      <c r="L313" s="48" t="s">
        <v>14</v>
      </c>
      <c r="M313" s="38">
        <v>42916</v>
      </c>
      <c r="N313" s="48" t="s">
        <v>18</v>
      </c>
      <c r="O313" s="35">
        <v>99000</v>
      </c>
      <c r="P313" s="35">
        <v>99000</v>
      </c>
      <c r="Q313" s="35">
        <v>99000</v>
      </c>
      <c r="R313" s="35"/>
      <c r="S313" s="58"/>
      <c r="T313" s="58"/>
    </row>
    <row r="314" spans="1:20" s="15" customFormat="1" ht="26.25" customHeight="1" x14ac:dyDescent="0.2">
      <c r="A314" s="43" t="s">
        <v>934</v>
      </c>
      <c r="B314" s="46" t="s">
        <v>21</v>
      </c>
      <c r="C314" s="44" t="s">
        <v>952</v>
      </c>
      <c r="D314" s="47">
        <v>14238</v>
      </c>
      <c r="E314" s="46" t="s">
        <v>962</v>
      </c>
      <c r="F314" s="35">
        <f>60000*3</f>
        <v>180000</v>
      </c>
      <c r="G314" s="35">
        <f>60000*3</f>
        <v>180000</v>
      </c>
      <c r="H314" s="35">
        <v>0</v>
      </c>
      <c r="I314" s="35">
        <f t="shared" si="41"/>
        <v>180000</v>
      </c>
      <c r="J314" s="36">
        <f t="shared" si="42"/>
        <v>0</v>
      </c>
      <c r="K314" s="48" t="s">
        <v>14</v>
      </c>
      <c r="L314" s="48" t="s">
        <v>14</v>
      </c>
      <c r="M314" s="38">
        <v>42916</v>
      </c>
      <c r="N314" s="48" t="s">
        <v>18</v>
      </c>
      <c r="O314" s="35">
        <v>60000</v>
      </c>
      <c r="P314" s="35">
        <v>60000</v>
      </c>
      <c r="Q314" s="35">
        <v>60000</v>
      </c>
      <c r="R314" s="35"/>
      <c r="S314" s="58"/>
      <c r="T314" s="58"/>
    </row>
    <row r="315" spans="1:20" s="15" customFormat="1" ht="26.25" customHeight="1" x14ac:dyDescent="0.2">
      <c r="A315" s="43" t="s">
        <v>935</v>
      </c>
      <c r="B315" s="46" t="s">
        <v>21</v>
      </c>
      <c r="C315" s="44" t="s">
        <v>953</v>
      </c>
      <c r="D315" s="47">
        <v>14260</v>
      </c>
      <c r="E315" s="46" t="s">
        <v>963</v>
      </c>
      <c r="F315" s="35">
        <v>87879</v>
      </c>
      <c r="G315" s="35">
        <v>87879</v>
      </c>
      <c r="H315" s="35">
        <v>0</v>
      </c>
      <c r="I315" s="35">
        <f t="shared" si="41"/>
        <v>87879</v>
      </c>
      <c r="J315" s="36">
        <f t="shared" si="42"/>
        <v>0</v>
      </c>
      <c r="K315" s="48" t="s">
        <v>14</v>
      </c>
      <c r="L315" s="48" t="s">
        <v>15</v>
      </c>
      <c r="M315" s="38">
        <v>43008</v>
      </c>
      <c r="N315" s="48"/>
      <c r="O315" s="35">
        <v>87879</v>
      </c>
      <c r="P315" s="35"/>
      <c r="Q315" s="35"/>
      <c r="R315" s="35"/>
      <c r="S315" s="58"/>
      <c r="T315" s="58"/>
    </row>
    <row r="316" spans="1:20" s="15" customFormat="1" ht="26.25" customHeight="1" x14ac:dyDescent="0.2">
      <c r="A316" s="43" t="s">
        <v>936</v>
      </c>
      <c r="B316" s="46" t="s">
        <v>69</v>
      </c>
      <c r="C316" s="44" t="s">
        <v>401</v>
      </c>
      <c r="D316" s="47">
        <v>14281</v>
      </c>
      <c r="E316" s="46" t="s">
        <v>964</v>
      </c>
      <c r="F316" s="35">
        <v>90350</v>
      </c>
      <c r="G316" s="35">
        <v>90350</v>
      </c>
      <c r="H316" s="35">
        <v>0</v>
      </c>
      <c r="I316" s="35">
        <f t="shared" si="41"/>
        <v>90350</v>
      </c>
      <c r="J316" s="36">
        <f t="shared" si="42"/>
        <v>0</v>
      </c>
      <c r="K316" s="48" t="s">
        <v>14</v>
      </c>
      <c r="L316" s="48" t="s">
        <v>14</v>
      </c>
      <c r="M316" s="38">
        <v>43160</v>
      </c>
      <c r="N316" s="48"/>
      <c r="O316" s="35">
        <v>90350</v>
      </c>
      <c r="P316" s="35"/>
      <c r="Q316" s="35"/>
      <c r="R316" s="35"/>
      <c r="S316" s="58"/>
      <c r="T316" s="58"/>
    </row>
    <row r="317" spans="1:20" s="15" customFormat="1" ht="26.25" customHeight="1" x14ac:dyDescent="0.2">
      <c r="A317" s="43" t="s">
        <v>937</v>
      </c>
      <c r="B317" s="46" t="s">
        <v>69</v>
      </c>
      <c r="C317" s="44" t="s">
        <v>954</v>
      </c>
      <c r="D317" s="47">
        <v>14296</v>
      </c>
      <c r="E317" s="46" t="s">
        <v>1185</v>
      </c>
      <c r="F317" s="35">
        <f>75000*3</f>
        <v>225000</v>
      </c>
      <c r="G317" s="35">
        <f>75000*3</f>
        <v>225000</v>
      </c>
      <c r="H317" s="35">
        <v>0</v>
      </c>
      <c r="I317" s="35">
        <f t="shared" si="41"/>
        <v>225000</v>
      </c>
      <c r="J317" s="36">
        <f t="shared" si="42"/>
        <v>0</v>
      </c>
      <c r="K317" s="48" t="s">
        <v>14</v>
      </c>
      <c r="L317" s="48" t="s">
        <v>14</v>
      </c>
      <c r="M317" s="38">
        <v>43207</v>
      </c>
      <c r="N317" s="48" t="s">
        <v>18</v>
      </c>
      <c r="O317" s="35">
        <v>75000</v>
      </c>
      <c r="P317" s="35">
        <v>75000</v>
      </c>
      <c r="Q317" s="35">
        <v>75000</v>
      </c>
      <c r="R317" s="35"/>
      <c r="S317" s="58"/>
      <c r="T317" s="58"/>
    </row>
    <row r="318" spans="1:20" s="15" customFormat="1" ht="26.25" customHeight="1" x14ac:dyDescent="0.2">
      <c r="A318" s="43" t="s">
        <v>938</v>
      </c>
      <c r="B318" s="46" t="s">
        <v>214</v>
      </c>
      <c r="C318" s="44" t="s">
        <v>955</v>
      </c>
      <c r="D318" s="47">
        <v>14330</v>
      </c>
      <c r="E318" s="46" t="s">
        <v>965</v>
      </c>
      <c r="F318" s="35">
        <f>68308+50000</f>
        <v>118308</v>
      </c>
      <c r="G318" s="35">
        <f>68308+50000</f>
        <v>118308</v>
      </c>
      <c r="H318" s="35">
        <v>0</v>
      </c>
      <c r="I318" s="35">
        <f t="shared" si="41"/>
        <v>118308</v>
      </c>
      <c r="J318" s="36">
        <f t="shared" si="42"/>
        <v>0</v>
      </c>
      <c r="K318" s="48" t="s">
        <v>14</v>
      </c>
      <c r="L318" s="48" t="s">
        <v>14</v>
      </c>
      <c r="M318" s="38">
        <v>43931</v>
      </c>
      <c r="N318" s="48" t="s">
        <v>18</v>
      </c>
      <c r="O318" s="35">
        <v>68308</v>
      </c>
      <c r="P318" s="35"/>
      <c r="Q318" s="35"/>
      <c r="R318" s="35">
        <v>50000</v>
      </c>
      <c r="S318" s="58"/>
      <c r="T318" s="58"/>
    </row>
    <row r="319" spans="1:20" s="15" customFormat="1" ht="26.25" customHeight="1" x14ac:dyDescent="0.2">
      <c r="A319" s="43" t="s">
        <v>939</v>
      </c>
      <c r="B319" s="46" t="s">
        <v>21</v>
      </c>
      <c r="C319" s="44" t="s">
        <v>956</v>
      </c>
      <c r="D319" s="47">
        <v>14332</v>
      </c>
      <c r="E319" s="46" t="s">
        <v>966</v>
      </c>
      <c r="F319" s="35">
        <v>75000</v>
      </c>
      <c r="G319" s="35">
        <v>75000</v>
      </c>
      <c r="H319" s="35">
        <v>0</v>
      </c>
      <c r="I319" s="35">
        <f t="shared" si="41"/>
        <v>75000</v>
      </c>
      <c r="J319" s="36">
        <f t="shared" si="42"/>
        <v>0</v>
      </c>
      <c r="K319" s="48" t="s">
        <v>14</v>
      </c>
      <c r="L319" s="48" t="s">
        <v>15</v>
      </c>
      <c r="M319" s="38">
        <v>43040</v>
      </c>
      <c r="N319" s="48"/>
      <c r="O319" s="35">
        <v>75000</v>
      </c>
      <c r="P319" s="35"/>
      <c r="Q319" s="35"/>
      <c r="R319" s="35"/>
      <c r="S319" s="58"/>
      <c r="T319" s="58"/>
    </row>
    <row r="320" spans="1:20" s="15" customFormat="1" ht="26.25" customHeight="1" x14ac:dyDescent="0.2">
      <c r="A320" s="43" t="s">
        <v>940</v>
      </c>
      <c r="B320" s="46" t="s">
        <v>26</v>
      </c>
      <c r="C320" s="44" t="s">
        <v>55</v>
      </c>
      <c r="D320" s="54" t="s">
        <v>961</v>
      </c>
      <c r="E320" s="46" t="s">
        <v>967</v>
      </c>
      <c r="F320" s="35">
        <f>10000*3</f>
        <v>30000</v>
      </c>
      <c r="G320" s="35">
        <v>99000</v>
      </c>
      <c r="H320" s="35">
        <f>1120650+50000+10000*3</f>
        <v>1200650</v>
      </c>
      <c r="I320" s="35">
        <f t="shared" si="41"/>
        <v>1299650</v>
      </c>
      <c r="J320" s="36">
        <f t="shared" si="42"/>
        <v>12.127777777777778</v>
      </c>
      <c r="K320" s="48" t="s">
        <v>14</v>
      </c>
      <c r="L320" s="48" t="s">
        <v>14</v>
      </c>
      <c r="M320" s="38">
        <v>43281</v>
      </c>
      <c r="N320" s="48" t="s">
        <v>28</v>
      </c>
      <c r="O320" s="35">
        <v>10000</v>
      </c>
      <c r="P320" s="35"/>
      <c r="Q320" s="35">
        <v>10000</v>
      </c>
      <c r="R320" s="35">
        <v>10000</v>
      </c>
      <c r="S320" s="58"/>
      <c r="T320" s="58"/>
    </row>
    <row r="321" spans="1:20" s="15" customFormat="1" ht="26.25" customHeight="1" x14ac:dyDescent="0.2">
      <c r="A321" s="43" t="s">
        <v>941</v>
      </c>
      <c r="B321" s="46" t="s">
        <v>21</v>
      </c>
      <c r="C321" s="44" t="s">
        <v>957</v>
      </c>
      <c r="D321" s="47">
        <v>14364</v>
      </c>
      <c r="E321" s="46" t="s">
        <v>968</v>
      </c>
      <c r="F321" s="35">
        <f>98000*3</f>
        <v>294000</v>
      </c>
      <c r="G321" s="35">
        <f>F321</f>
        <v>294000</v>
      </c>
      <c r="H321" s="35">
        <v>0</v>
      </c>
      <c r="I321" s="35">
        <f t="shared" si="41"/>
        <v>294000</v>
      </c>
      <c r="J321" s="36">
        <f t="shared" si="42"/>
        <v>0</v>
      </c>
      <c r="K321" s="48" t="s">
        <v>14</v>
      </c>
      <c r="L321" s="48" t="s">
        <v>14</v>
      </c>
      <c r="M321" s="38">
        <v>42916</v>
      </c>
      <c r="N321" s="48" t="s">
        <v>18</v>
      </c>
      <c r="O321" s="35">
        <v>98000</v>
      </c>
      <c r="P321" s="35">
        <v>98000</v>
      </c>
      <c r="Q321" s="35">
        <v>98000</v>
      </c>
      <c r="R321" s="35"/>
      <c r="S321" s="58"/>
      <c r="T321" s="58"/>
    </row>
    <row r="322" spans="1:20" s="15" customFormat="1" ht="26.25" customHeight="1" x14ac:dyDescent="0.2">
      <c r="A322" s="43" t="s">
        <v>942</v>
      </c>
      <c r="B322" s="46" t="s">
        <v>21</v>
      </c>
      <c r="C322" s="44" t="s">
        <v>958</v>
      </c>
      <c r="D322" s="47">
        <v>14365</v>
      </c>
      <c r="E322" s="46" t="s">
        <v>223</v>
      </c>
      <c r="F322" s="35">
        <f>98000*3</f>
        <v>294000</v>
      </c>
      <c r="G322" s="35">
        <f>F322</f>
        <v>294000</v>
      </c>
      <c r="H322" s="35">
        <v>0</v>
      </c>
      <c r="I322" s="35">
        <f t="shared" si="41"/>
        <v>294000</v>
      </c>
      <c r="J322" s="36">
        <f t="shared" si="42"/>
        <v>0</v>
      </c>
      <c r="K322" s="48" t="s">
        <v>14</v>
      </c>
      <c r="L322" s="48" t="s">
        <v>14</v>
      </c>
      <c r="M322" s="38">
        <v>42916</v>
      </c>
      <c r="N322" s="48" t="s">
        <v>18</v>
      </c>
      <c r="O322" s="35">
        <v>98000</v>
      </c>
      <c r="P322" s="35">
        <v>98000</v>
      </c>
      <c r="Q322" s="35">
        <v>98000</v>
      </c>
      <c r="R322" s="35"/>
      <c r="S322" s="58"/>
      <c r="T322" s="58"/>
    </row>
    <row r="323" spans="1:20" s="15" customFormat="1" ht="26.25" customHeight="1" x14ac:dyDescent="0.2">
      <c r="A323" s="43" t="s">
        <v>943</v>
      </c>
      <c r="B323" s="46" t="s">
        <v>19</v>
      </c>
      <c r="C323" s="44" t="s">
        <v>59</v>
      </c>
      <c r="D323" s="47">
        <v>14366</v>
      </c>
      <c r="E323" s="46" t="s">
        <v>297</v>
      </c>
      <c r="F323" s="35">
        <v>3941</v>
      </c>
      <c r="G323" s="35">
        <v>73431</v>
      </c>
      <c r="H323" s="35">
        <v>3941</v>
      </c>
      <c r="I323" s="35">
        <f t="shared" si="41"/>
        <v>77372</v>
      </c>
      <c r="J323" s="36">
        <f t="shared" si="42"/>
        <v>5.3669431166673477E-2</v>
      </c>
      <c r="K323" s="48" t="s">
        <v>14</v>
      </c>
      <c r="L323" s="48" t="s">
        <v>14</v>
      </c>
      <c r="M323" s="38">
        <v>42853</v>
      </c>
      <c r="N323" s="48" t="s">
        <v>28</v>
      </c>
      <c r="O323" s="35">
        <v>3941</v>
      </c>
      <c r="P323" s="35"/>
      <c r="Q323" s="35"/>
      <c r="R323" s="35"/>
      <c r="S323" s="58"/>
      <c r="T323" s="58"/>
    </row>
    <row r="324" spans="1:20" s="15" customFormat="1" ht="26.25" customHeight="1" x14ac:dyDescent="0.2">
      <c r="A324" s="43" t="s">
        <v>944</v>
      </c>
      <c r="B324" s="46" t="s">
        <v>21</v>
      </c>
      <c r="C324" s="44" t="s">
        <v>959</v>
      </c>
      <c r="D324" s="47">
        <v>14368</v>
      </c>
      <c r="E324" s="46" t="s">
        <v>223</v>
      </c>
      <c r="F324" s="35">
        <f>98000*3</f>
        <v>294000</v>
      </c>
      <c r="G324" s="35">
        <f>F324</f>
        <v>294000</v>
      </c>
      <c r="H324" s="35">
        <v>0</v>
      </c>
      <c r="I324" s="35">
        <f t="shared" si="41"/>
        <v>294000</v>
      </c>
      <c r="J324" s="36">
        <f t="shared" si="42"/>
        <v>0</v>
      </c>
      <c r="K324" s="48" t="s">
        <v>14</v>
      </c>
      <c r="L324" s="48" t="s">
        <v>14</v>
      </c>
      <c r="M324" s="38">
        <v>42916</v>
      </c>
      <c r="N324" s="48" t="s">
        <v>18</v>
      </c>
      <c r="O324" s="35">
        <v>98000</v>
      </c>
      <c r="P324" s="35">
        <v>98000</v>
      </c>
      <c r="Q324" s="35">
        <v>98000</v>
      </c>
      <c r="R324" s="35"/>
      <c r="S324" s="58"/>
      <c r="T324" s="58"/>
    </row>
    <row r="325" spans="1:20" s="15" customFormat="1" ht="18" customHeight="1" x14ac:dyDescent="0.2">
      <c r="A325" s="43" t="s">
        <v>945</v>
      </c>
      <c r="B325" s="46" t="s">
        <v>372</v>
      </c>
      <c r="C325" s="44" t="s">
        <v>960</v>
      </c>
      <c r="D325" s="47">
        <v>14434</v>
      </c>
      <c r="E325" s="46" t="s">
        <v>969</v>
      </c>
      <c r="F325" s="35">
        <f>84000*3</f>
        <v>252000</v>
      </c>
      <c r="G325" s="35">
        <f>84000*3</f>
        <v>252000</v>
      </c>
      <c r="H325" s="35">
        <v>0</v>
      </c>
      <c r="I325" s="35">
        <f t="shared" si="41"/>
        <v>252000</v>
      </c>
      <c r="J325" s="36">
        <f t="shared" si="42"/>
        <v>0</v>
      </c>
      <c r="K325" s="48" t="s">
        <v>14</v>
      </c>
      <c r="L325" s="48" t="s">
        <v>15</v>
      </c>
      <c r="M325" s="38">
        <v>43210</v>
      </c>
      <c r="N325" s="48" t="s">
        <v>18</v>
      </c>
      <c r="O325" s="35">
        <v>84000</v>
      </c>
      <c r="P325" s="35">
        <v>84000</v>
      </c>
      <c r="Q325" s="35">
        <v>84000</v>
      </c>
      <c r="R325" s="35"/>
      <c r="S325" s="58"/>
      <c r="T325" s="58"/>
    </row>
    <row r="326" spans="1:20" s="15" customFormat="1" ht="26.25" customHeight="1" x14ac:dyDescent="0.2">
      <c r="A326" s="43" t="s">
        <v>946</v>
      </c>
      <c r="B326" s="46" t="s">
        <v>21</v>
      </c>
      <c r="C326" s="44" t="s">
        <v>603</v>
      </c>
      <c r="D326" s="47">
        <v>14435</v>
      </c>
      <c r="E326" s="46" t="s">
        <v>607</v>
      </c>
      <c r="F326" s="35">
        <v>78585</v>
      </c>
      <c r="G326" s="35">
        <v>78585</v>
      </c>
      <c r="H326" s="35">
        <v>0</v>
      </c>
      <c r="I326" s="35">
        <f t="shared" si="41"/>
        <v>78585</v>
      </c>
      <c r="J326" s="36">
        <f t="shared" si="42"/>
        <v>0</v>
      </c>
      <c r="K326" s="48" t="s">
        <v>14</v>
      </c>
      <c r="L326" s="48" t="s">
        <v>14</v>
      </c>
      <c r="M326" s="38">
        <v>42914</v>
      </c>
      <c r="N326" s="48"/>
      <c r="O326" s="35">
        <v>78585</v>
      </c>
      <c r="P326" s="35"/>
      <c r="Q326" s="35"/>
      <c r="R326" s="35"/>
      <c r="S326" s="58"/>
      <c r="T326" s="58"/>
    </row>
    <row r="327" spans="1:20" s="15" customFormat="1" ht="26.25" customHeight="1" x14ac:dyDescent="0.2">
      <c r="A327" s="43" t="s">
        <v>971</v>
      </c>
      <c r="B327" s="46" t="s">
        <v>17</v>
      </c>
      <c r="C327" s="44" t="s">
        <v>981</v>
      </c>
      <c r="D327" s="47">
        <v>14169</v>
      </c>
      <c r="E327" s="46" t="s">
        <v>992</v>
      </c>
      <c r="F327" s="35">
        <f>45000*3</f>
        <v>135000</v>
      </c>
      <c r="G327" s="35">
        <f>45000*3</f>
        <v>135000</v>
      </c>
      <c r="H327" s="35">
        <v>0</v>
      </c>
      <c r="I327" s="35">
        <f t="shared" ref="I327:I336" si="43">G327+H327</f>
        <v>135000</v>
      </c>
      <c r="J327" s="36">
        <f t="shared" ref="J327:J336" si="44">IF(G327=0,100%,(I327-G327)/G327)</f>
        <v>0</v>
      </c>
      <c r="K327" s="48" t="s">
        <v>14</v>
      </c>
      <c r="L327" s="48" t="s">
        <v>15</v>
      </c>
      <c r="M327" s="38">
        <v>43281</v>
      </c>
      <c r="N327" s="48" t="s">
        <v>18</v>
      </c>
      <c r="O327" s="35">
        <v>45000</v>
      </c>
      <c r="P327" s="35">
        <v>45000</v>
      </c>
      <c r="Q327" s="35">
        <v>45000</v>
      </c>
      <c r="R327" s="35"/>
      <c r="S327" s="58"/>
      <c r="T327" s="58"/>
    </row>
    <row r="328" spans="1:20" s="15" customFormat="1" ht="26.25" customHeight="1" x14ac:dyDescent="0.2">
      <c r="A328" s="43" t="s">
        <v>972</v>
      </c>
      <c r="B328" s="46" t="s">
        <v>19</v>
      </c>
      <c r="C328" s="44" t="s">
        <v>982</v>
      </c>
      <c r="D328" s="47">
        <v>14359</v>
      </c>
      <c r="E328" s="46" t="s">
        <v>993</v>
      </c>
      <c r="F328" s="35">
        <v>9865</v>
      </c>
      <c r="G328" s="35">
        <v>9865</v>
      </c>
      <c r="H328" s="35">
        <v>0</v>
      </c>
      <c r="I328" s="35">
        <f t="shared" si="43"/>
        <v>9865</v>
      </c>
      <c r="J328" s="36">
        <f t="shared" si="44"/>
        <v>0</v>
      </c>
      <c r="K328" s="48" t="s">
        <v>14</v>
      </c>
      <c r="L328" s="48" t="s">
        <v>14</v>
      </c>
      <c r="M328" s="38">
        <v>42916</v>
      </c>
      <c r="N328" s="48"/>
      <c r="O328" s="35">
        <v>9865</v>
      </c>
      <c r="P328" s="35"/>
      <c r="Q328" s="35"/>
      <c r="R328" s="35"/>
      <c r="S328" s="58"/>
      <c r="T328" s="58"/>
    </row>
    <row r="329" spans="1:20" s="15" customFormat="1" ht="26.25" customHeight="1" x14ac:dyDescent="0.2">
      <c r="A329" s="43" t="s">
        <v>973</v>
      </c>
      <c r="B329" s="46" t="s">
        <v>19</v>
      </c>
      <c r="C329" s="44" t="s">
        <v>983</v>
      </c>
      <c r="D329" s="47">
        <v>14360</v>
      </c>
      <c r="E329" s="46" t="s">
        <v>994</v>
      </c>
      <c r="F329" s="35">
        <v>10125</v>
      </c>
      <c r="G329" s="35">
        <v>10125</v>
      </c>
      <c r="H329" s="35">
        <v>0</v>
      </c>
      <c r="I329" s="35">
        <f t="shared" si="43"/>
        <v>10125</v>
      </c>
      <c r="J329" s="36">
        <f t="shared" si="44"/>
        <v>0</v>
      </c>
      <c r="K329" s="48" t="s">
        <v>14</v>
      </c>
      <c r="L329" s="48" t="s">
        <v>14</v>
      </c>
      <c r="M329" s="38">
        <v>42916</v>
      </c>
      <c r="N329" s="48"/>
      <c r="O329" s="35">
        <v>10125</v>
      </c>
      <c r="P329" s="35"/>
      <c r="Q329" s="35"/>
      <c r="R329" s="35"/>
      <c r="S329" s="58"/>
      <c r="T329" s="58"/>
    </row>
    <row r="330" spans="1:20" s="15" customFormat="1" ht="26.25" customHeight="1" x14ac:dyDescent="0.2">
      <c r="A330" s="43" t="s">
        <v>974</v>
      </c>
      <c r="B330" s="46" t="s">
        <v>21</v>
      </c>
      <c r="C330" s="44" t="s">
        <v>984</v>
      </c>
      <c r="D330" s="47">
        <v>14381</v>
      </c>
      <c r="E330" s="46" t="s">
        <v>995</v>
      </c>
      <c r="F330" s="35">
        <v>6636</v>
      </c>
      <c r="G330" s="35">
        <v>6636</v>
      </c>
      <c r="H330" s="35">
        <v>0</v>
      </c>
      <c r="I330" s="35">
        <f t="shared" si="43"/>
        <v>6636</v>
      </c>
      <c r="J330" s="36">
        <f t="shared" si="44"/>
        <v>0</v>
      </c>
      <c r="K330" s="48" t="s">
        <v>14</v>
      </c>
      <c r="L330" s="48" t="s">
        <v>14</v>
      </c>
      <c r="M330" s="38">
        <v>42825</v>
      </c>
      <c r="N330" s="48"/>
      <c r="O330" s="35">
        <v>6636</v>
      </c>
      <c r="P330" s="35"/>
      <c r="Q330" s="35"/>
      <c r="R330" s="35"/>
      <c r="S330" s="58"/>
      <c r="T330" s="58"/>
    </row>
    <row r="331" spans="1:20" s="15" customFormat="1" ht="26.25" customHeight="1" x14ac:dyDescent="0.2">
      <c r="A331" s="43" t="s">
        <v>975</v>
      </c>
      <c r="B331" s="46" t="s">
        <v>20</v>
      </c>
      <c r="C331" s="44" t="s">
        <v>985</v>
      </c>
      <c r="D331" s="54" t="s">
        <v>990</v>
      </c>
      <c r="E331" s="46" t="s">
        <v>996</v>
      </c>
      <c r="F331" s="35">
        <f>5000+5000</f>
        <v>10000</v>
      </c>
      <c r="G331" s="35">
        <v>14290</v>
      </c>
      <c r="H331" s="35">
        <f>5000+5000</f>
        <v>10000</v>
      </c>
      <c r="I331" s="35">
        <f t="shared" si="43"/>
        <v>24290</v>
      </c>
      <c r="J331" s="36">
        <f t="shared" si="44"/>
        <v>0.69979006298110569</v>
      </c>
      <c r="K331" s="48" t="s">
        <v>14</v>
      </c>
      <c r="L331" s="48" t="s">
        <v>14</v>
      </c>
      <c r="M331" s="38">
        <v>42916</v>
      </c>
      <c r="N331" s="48" t="s">
        <v>28</v>
      </c>
      <c r="O331" s="35">
        <v>5000</v>
      </c>
      <c r="P331" s="35">
        <v>5000</v>
      </c>
      <c r="Q331" s="35"/>
      <c r="R331" s="35"/>
      <c r="S331" s="58"/>
      <c r="T331" s="58"/>
    </row>
    <row r="332" spans="1:20" s="15" customFormat="1" ht="26.25" customHeight="1" x14ac:dyDescent="0.2">
      <c r="A332" s="43" t="s">
        <v>976</v>
      </c>
      <c r="B332" s="46" t="s">
        <v>69</v>
      </c>
      <c r="C332" s="44" t="s">
        <v>986</v>
      </c>
      <c r="D332" s="47">
        <v>14450</v>
      </c>
      <c r="E332" s="46" t="s">
        <v>997</v>
      </c>
      <c r="F332" s="35">
        <f>48000+48000</f>
        <v>96000</v>
      </c>
      <c r="G332" s="35">
        <f>48000+48000</f>
        <v>96000</v>
      </c>
      <c r="H332" s="35">
        <v>0</v>
      </c>
      <c r="I332" s="35">
        <f t="shared" si="43"/>
        <v>96000</v>
      </c>
      <c r="J332" s="36">
        <f t="shared" si="44"/>
        <v>0</v>
      </c>
      <c r="K332" s="48" t="s">
        <v>14</v>
      </c>
      <c r="L332" s="48" t="s">
        <v>15</v>
      </c>
      <c r="M332" s="38">
        <v>43191</v>
      </c>
      <c r="N332" s="48" t="s">
        <v>18</v>
      </c>
      <c r="O332" s="35">
        <v>48000</v>
      </c>
      <c r="P332" s="35">
        <v>48000</v>
      </c>
      <c r="Q332" s="35"/>
      <c r="R332" s="35"/>
      <c r="S332" s="58"/>
      <c r="T332" s="58"/>
    </row>
    <row r="333" spans="1:20" s="15" customFormat="1" ht="26.25" customHeight="1" x14ac:dyDescent="0.2">
      <c r="A333" s="43" t="s">
        <v>977</v>
      </c>
      <c r="B333" s="46" t="s">
        <v>22</v>
      </c>
      <c r="C333" s="44" t="s">
        <v>987</v>
      </c>
      <c r="D333" s="47">
        <v>14475</v>
      </c>
      <c r="E333" s="46" t="s">
        <v>998</v>
      </c>
      <c r="F333" s="35">
        <v>25000</v>
      </c>
      <c r="G333" s="35">
        <v>25000</v>
      </c>
      <c r="H333" s="35">
        <v>0</v>
      </c>
      <c r="I333" s="35">
        <f t="shared" si="43"/>
        <v>25000</v>
      </c>
      <c r="J333" s="36">
        <f t="shared" si="44"/>
        <v>0</v>
      </c>
      <c r="K333" s="48" t="s">
        <v>14</v>
      </c>
      <c r="L333" s="48" t="s">
        <v>14</v>
      </c>
      <c r="M333" s="38">
        <v>42916</v>
      </c>
      <c r="N333" s="48"/>
      <c r="O333" s="35">
        <v>25000</v>
      </c>
      <c r="P333" s="35"/>
      <c r="Q333" s="35"/>
      <c r="R333" s="35"/>
      <c r="S333" s="58"/>
      <c r="T333" s="58"/>
    </row>
    <row r="334" spans="1:20" s="15" customFormat="1" ht="18" customHeight="1" x14ac:dyDescent="0.2">
      <c r="A334" s="43" t="s">
        <v>978</v>
      </c>
      <c r="B334" s="46" t="s">
        <v>30</v>
      </c>
      <c r="C334" s="44" t="s">
        <v>988</v>
      </c>
      <c r="D334" s="47">
        <v>14479</v>
      </c>
      <c r="E334" s="46" t="s">
        <v>999</v>
      </c>
      <c r="F334" s="35">
        <v>40899</v>
      </c>
      <c r="G334" s="35">
        <v>40899</v>
      </c>
      <c r="H334" s="35">
        <v>0</v>
      </c>
      <c r="I334" s="35">
        <f t="shared" si="43"/>
        <v>40899</v>
      </c>
      <c r="J334" s="36">
        <f t="shared" si="44"/>
        <v>0</v>
      </c>
      <c r="K334" s="48" t="s">
        <v>14</v>
      </c>
      <c r="L334" s="48" t="s">
        <v>15</v>
      </c>
      <c r="M334" s="38">
        <v>43586</v>
      </c>
      <c r="N334" s="48"/>
      <c r="O334" s="35">
        <v>40899</v>
      </c>
      <c r="P334" s="35"/>
      <c r="Q334" s="35"/>
      <c r="R334" s="35"/>
      <c r="S334" s="58"/>
      <c r="T334" s="58"/>
    </row>
    <row r="335" spans="1:20" s="15" customFormat="1" ht="26.25" customHeight="1" x14ac:dyDescent="0.2">
      <c r="A335" s="43" t="s">
        <v>979</v>
      </c>
      <c r="B335" s="46" t="s">
        <v>19</v>
      </c>
      <c r="C335" s="44" t="s">
        <v>317</v>
      </c>
      <c r="D335" s="54" t="s">
        <v>991</v>
      </c>
      <c r="E335" s="46" t="s">
        <v>1000</v>
      </c>
      <c r="F335" s="35">
        <v>6000</v>
      </c>
      <c r="G335" s="35">
        <v>16331</v>
      </c>
      <c r="H335" s="35">
        <v>6000</v>
      </c>
      <c r="I335" s="35">
        <f t="shared" si="43"/>
        <v>22331</v>
      </c>
      <c r="J335" s="36">
        <f t="shared" si="44"/>
        <v>0.36739942440756845</v>
      </c>
      <c r="K335" s="48" t="s">
        <v>14</v>
      </c>
      <c r="L335" s="48" t="s">
        <v>14</v>
      </c>
      <c r="M335" s="38">
        <v>42916</v>
      </c>
      <c r="N335" s="48" t="s">
        <v>28</v>
      </c>
      <c r="O335" s="35">
        <v>6000</v>
      </c>
      <c r="P335" s="35"/>
      <c r="Q335" s="35"/>
      <c r="R335" s="35"/>
      <c r="S335" s="58"/>
      <c r="T335" s="58"/>
    </row>
    <row r="336" spans="1:20" s="15" customFormat="1" ht="26.25" customHeight="1" x14ac:dyDescent="0.2">
      <c r="A336" s="43" t="s">
        <v>980</v>
      </c>
      <c r="B336" s="46" t="s">
        <v>20</v>
      </c>
      <c r="C336" s="44" t="s">
        <v>989</v>
      </c>
      <c r="D336" s="47">
        <v>14510</v>
      </c>
      <c r="E336" s="46" t="s">
        <v>1001</v>
      </c>
      <c r="F336" s="35">
        <f>6000*3</f>
        <v>18000</v>
      </c>
      <c r="G336" s="35">
        <f>6000*3</f>
        <v>18000</v>
      </c>
      <c r="H336" s="35">
        <v>0</v>
      </c>
      <c r="I336" s="35">
        <f t="shared" si="43"/>
        <v>18000</v>
      </c>
      <c r="J336" s="36">
        <f t="shared" si="44"/>
        <v>0</v>
      </c>
      <c r="K336" s="48" t="s">
        <v>15</v>
      </c>
      <c r="L336" s="48" t="s">
        <v>14</v>
      </c>
      <c r="M336" s="38">
        <v>43221</v>
      </c>
      <c r="N336" s="48" t="s">
        <v>18</v>
      </c>
      <c r="O336" s="35">
        <v>6000</v>
      </c>
      <c r="P336" s="35">
        <v>6000</v>
      </c>
      <c r="Q336" s="35">
        <v>6000</v>
      </c>
      <c r="R336" s="35"/>
      <c r="S336" s="58"/>
      <c r="T336" s="58"/>
    </row>
    <row r="337" spans="1:20" s="15" customFormat="1" ht="26.25" customHeight="1" x14ac:dyDescent="0.2">
      <c r="A337" s="43" t="s">
        <v>1002</v>
      </c>
      <c r="B337" s="46" t="s">
        <v>21</v>
      </c>
      <c r="C337" s="44" t="s">
        <v>612</v>
      </c>
      <c r="D337" s="47">
        <v>14467</v>
      </c>
      <c r="E337" s="46" t="s">
        <v>1008</v>
      </c>
      <c r="F337" s="35">
        <v>2485</v>
      </c>
      <c r="G337" s="35">
        <v>95000</v>
      </c>
      <c r="H337" s="35">
        <v>2485</v>
      </c>
      <c r="I337" s="35">
        <f>G337+H337</f>
        <v>97485</v>
      </c>
      <c r="J337" s="36">
        <f>IF(G337=0,100%,(I337-G337)/G337)</f>
        <v>2.6157894736842106E-2</v>
      </c>
      <c r="K337" s="48" t="s">
        <v>14</v>
      </c>
      <c r="L337" s="48" t="s">
        <v>14</v>
      </c>
      <c r="M337" s="38">
        <v>42855</v>
      </c>
      <c r="N337" s="48" t="s">
        <v>28</v>
      </c>
      <c r="O337" s="35">
        <v>2485</v>
      </c>
      <c r="P337" s="35"/>
      <c r="Q337" s="35"/>
      <c r="R337" s="35"/>
      <c r="S337" s="58"/>
      <c r="T337" s="58"/>
    </row>
    <row r="338" spans="1:20" s="15" customFormat="1" ht="26.25" customHeight="1" x14ac:dyDescent="0.2">
      <c r="A338" s="43" t="s">
        <v>1003</v>
      </c>
      <c r="B338" s="46" t="s">
        <v>17</v>
      </c>
      <c r="C338" s="44" t="s">
        <v>1006</v>
      </c>
      <c r="D338" s="47">
        <v>14492</v>
      </c>
      <c r="E338" s="46" t="s">
        <v>1009</v>
      </c>
      <c r="F338" s="35">
        <v>90000</v>
      </c>
      <c r="G338" s="35">
        <v>90000</v>
      </c>
      <c r="H338" s="35">
        <v>0</v>
      </c>
      <c r="I338" s="35">
        <f>G338+H338</f>
        <v>90000</v>
      </c>
      <c r="J338" s="36">
        <f>IF(G338=0,100%,(I338-G338)/G338)</f>
        <v>0</v>
      </c>
      <c r="K338" s="48" t="s">
        <v>14</v>
      </c>
      <c r="L338" s="48" t="s">
        <v>14</v>
      </c>
      <c r="M338" s="38">
        <v>43281</v>
      </c>
      <c r="N338" s="48"/>
      <c r="O338" s="35">
        <v>90000</v>
      </c>
      <c r="P338" s="35"/>
      <c r="Q338" s="35"/>
      <c r="R338" s="35"/>
      <c r="S338" s="58"/>
      <c r="T338" s="58"/>
    </row>
    <row r="339" spans="1:20" s="15" customFormat="1" ht="26.25" customHeight="1" x14ac:dyDescent="0.2">
      <c r="A339" s="43" t="s">
        <v>1004</v>
      </c>
      <c r="B339" s="46" t="s">
        <v>20</v>
      </c>
      <c r="C339" s="44" t="s">
        <v>1007</v>
      </c>
      <c r="D339" s="47">
        <v>14509</v>
      </c>
      <c r="E339" s="46" t="s">
        <v>1010</v>
      </c>
      <c r="F339" s="35">
        <f>60000*3</f>
        <v>180000</v>
      </c>
      <c r="G339" s="35">
        <f>60000*3</f>
        <v>180000</v>
      </c>
      <c r="H339" s="35">
        <v>0</v>
      </c>
      <c r="I339" s="35">
        <f>G339+H339</f>
        <v>180000</v>
      </c>
      <c r="J339" s="36">
        <f>IF(G339=0,100%,(I339-G339)/G339)</f>
        <v>0</v>
      </c>
      <c r="K339" s="48" t="s">
        <v>14</v>
      </c>
      <c r="L339" s="48" t="s">
        <v>14</v>
      </c>
      <c r="M339" s="38">
        <v>43221</v>
      </c>
      <c r="N339" s="48" t="s">
        <v>18</v>
      </c>
      <c r="O339" s="35">
        <v>60000</v>
      </c>
      <c r="P339" s="35">
        <v>60000</v>
      </c>
      <c r="Q339" s="35">
        <v>60000</v>
      </c>
      <c r="R339" s="35"/>
      <c r="S339" s="58"/>
      <c r="T339" s="58"/>
    </row>
    <row r="340" spans="1:20" s="15" customFormat="1" ht="26.25" customHeight="1" x14ac:dyDescent="0.2">
      <c r="A340" s="43" t="s">
        <v>1005</v>
      </c>
      <c r="B340" s="46" t="s">
        <v>19</v>
      </c>
      <c r="C340" s="44" t="s">
        <v>358</v>
      </c>
      <c r="D340" s="47">
        <v>14543</v>
      </c>
      <c r="E340" s="46" t="s">
        <v>1011</v>
      </c>
      <c r="F340" s="35">
        <v>15000</v>
      </c>
      <c r="G340" s="35">
        <v>74000</v>
      </c>
      <c r="H340" s="35">
        <v>15000</v>
      </c>
      <c r="I340" s="35">
        <f>G340+H340</f>
        <v>89000</v>
      </c>
      <c r="J340" s="36">
        <f>IF(G340=0,100%,(I340-G340)/G340)</f>
        <v>0.20270270270270271</v>
      </c>
      <c r="K340" s="48" t="s">
        <v>14</v>
      </c>
      <c r="L340" s="48" t="s">
        <v>14</v>
      </c>
      <c r="M340" s="38">
        <v>42916</v>
      </c>
      <c r="N340" s="48" t="s">
        <v>28</v>
      </c>
      <c r="O340" s="35">
        <v>15000</v>
      </c>
      <c r="P340" s="35"/>
      <c r="Q340" s="35"/>
      <c r="R340" s="35"/>
      <c r="S340" s="58"/>
      <c r="T340" s="58"/>
    </row>
    <row r="341" spans="1:20" s="15" customFormat="1" ht="26.25" customHeight="1" x14ac:dyDescent="0.2">
      <c r="A341" s="43" t="s">
        <v>1012</v>
      </c>
      <c r="B341" s="46" t="s">
        <v>22</v>
      </c>
      <c r="C341" s="44" t="s">
        <v>1026</v>
      </c>
      <c r="D341" s="47">
        <v>14489</v>
      </c>
      <c r="E341" s="46" t="s">
        <v>1038</v>
      </c>
      <c r="F341" s="35">
        <v>10000</v>
      </c>
      <c r="G341" s="35">
        <v>10000</v>
      </c>
      <c r="H341" s="35">
        <v>0</v>
      </c>
      <c r="I341" s="35">
        <f>G341+H341</f>
        <v>10000</v>
      </c>
      <c r="J341" s="36">
        <f>IF(G341=0,100%,(I341-G341)/G341)</f>
        <v>0</v>
      </c>
      <c r="K341" s="48" t="s">
        <v>14</v>
      </c>
      <c r="L341" s="48" t="s">
        <v>14</v>
      </c>
      <c r="M341" s="38">
        <v>42819</v>
      </c>
      <c r="N341" s="48"/>
      <c r="O341" s="35">
        <v>10000</v>
      </c>
      <c r="P341" s="35"/>
      <c r="Q341" s="35"/>
      <c r="R341" s="35"/>
      <c r="S341" s="58"/>
      <c r="T341" s="58"/>
    </row>
    <row r="342" spans="1:20" s="15" customFormat="1" ht="26.25" customHeight="1" x14ac:dyDescent="0.2">
      <c r="A342" s="43" t="s">
        <v>1013</v>
      </c>
      <c r="B342" s="46" t="s">
        <v>25</v>
      </c>
      <c r="C342" s="44" t="s">
        <v>1027</v>
      </c>
      <c r="D342" s="47">
        <v>14495</v>
      </c>
      <c r="E342" s="46" t="s">
        <v>1040</v>
      </c>
      <c r="F342" s="35">
        <f>7000*3</f>
        <v>21000</v>
      </c>
      <c r="G342" s="35">
        <f>7000*3</f>
        <v>21000</v>
      </c>
      <c r="H342" s="35">
        <v>0</v>
      </c>
      <c r="I342" s="35">
        <f t="shared" ref="I342:I355" si="45">G342+H342</f>
        <v>21000</v>
      </c>
      <c r="J342" s="36">
        <f t="shared" ref="J342:J355" si="46">IF(G342=0,100%,(I342-G342)/G342)</f>
        <v>0</v>
      </c>
      <c r="K342" s="48" t="s">
        <v>14</v>
      </c>
      <c r="L342" s="48" t="s">
        <v>14</v>
      </c>
      <c r="M342" s="38">
        <v>42916</v>
      </c>
      <c r="N342" s="48" t="s">
        <v>18</v>
      </c>
      <c r="O342" s="35">
        <v>7000</v>
      </c>
      <c r="P342" s="35">
        <v>7000</v>
      </c>
      <c r="Q342" s="35">
        <v>7000</v>
      </c>
      <c r="R342" s="35"/>
      <c r="S342" s="58"/>
      <c r="T342" s="58"/>
    </row>
    <row r="343" spans="1:20" s="15" customFormat="1" ht="26.25" customHeight="1" x14ac:dyDescent="0.2">
      <c r="A343" s="43" t="s">
        <v>1014</v>
      </c>
      <c r="B343" s="46" t="s">
        <v>21</v>
      </c>
      <c r="C343" s="44" t="s">
        <v>1028</v>
      </c>
      <c r="D343" s="47">
        <v>14593</v>
      </c>
      <c r="E343" s="46" t="s">
        <v>1039</v>
      </c>
      <c r="F343" s="35">
        <f>8055+10000+10000</f>
        <v>28055</v>
      </c>
      <c r="G343" s="35">
        <f>8055+10000+10000</f>
        <v>28055</v>
      </c>
      <c r="H343" s="35">
        <v>0</v>
      </c>
      <c r="I343" s="35">
        <f t="shared" si="45"/>
        <v>28055</v>
      </c>
      <c r="J343" s="36">
        <f t="shared" si="46"/>
        <v>0</v>
      </c>
      <c r="K343" s="48" t="s">
        <v>14</v>
      </c>
      <c r="L343" s="48" t="s">
        <v>14</v>
      </c>
      <c r="M343" s="38">
        <v>42765</v>
      </c>
      <c r="N343" s="48" t="s">
        <v>18</v>
      </c>
      <c r="O343" s="35">
        <v>8055</v>
      </c>
      <c r="P343" s="35">
        <v>10000</v>
      </c>
      <c r="Q343" s="35">
        <v>10000</v>
      </c>
      <c r="R343" s="35"/>
      <c r="S343" s="58"/>
      <c r="T343" s="58"/>
    </row>
    <row r="344" spans="1:20" s="15" customFormat="1" ht="26.25" customHeight="1" x14ac:dyDescent="0.2">
      <c r="A344" s="43" t="s">
        <v>1015</v>
      </c>
      <c r="B344" s="46" t="s">
        <v>21</v>
      </c>
      <c r="C344" s="44" t="s">
        <v>1029</v>
      </c>
      <c r="D344" s="47">
        <v>14244</v>
      </c>
      <c r="E344" s="46" t="s">
        <v>1041</v>
      </c>
      <c r="F344" s="35">
        <f>21324+4220+4642</f>
        <v>30186</v>
      </c>
      <c r="G344" s="35">
        <f>21324+4220+4642</f>
        <v>30186</v>
      </c>
      <c r="H344" s="35">
        <v>0</v>
      </c>
      <c r="I344" s="35">
        <f t="shared" si="45"/>
        <v>30186</v>
      </c>
      <c r="J344" s="36">
        <f t="shared" si="46"/>
        <v>0</v>
      </c>
      <c r="K344" s="48" t="s">
        <v>14</v>
      </c>
      <c r="L344" s="48" t="s">
        <v>14</v>
      </c>
      <c r="M344" s="38">
        <v>43131</v>
      </c>
      <c r="N344" s="48" t="s">
        <v>18</v>
      </c>
      <c r="O344" s="35">
        <v>21324</v>
      </c>
      <c r="P344" s="35">
        <v>4220</v>
      </c>
      <c r="Q344" s="35">
        <v>4642</v>
      </c>
      <c r="R344" s="35"/>
      <c r="S344" s="58"/>
      <c r="T344" s="58"/>
    </row>
    <row r="345" spans="1:20" s="15" customFormat="1" ht="26.25" customHeight="1" x14ac:dyDescent="0.2">
      <c r="A345" s="43" t="s">
        <v>1016</v>
      </c>
      <c r="B345" s="46" t="s">
        <v>21</v>
      </c>
      <c r="C345" s="44" t="s">
        <v>32</v>
      </c>
      <c r="D345" s="47">
        <v>14499</v>
      </c>
      <c r="E345" s="46" t="s">
        <v>1042</v>
      </c>
      <c r="F345" s="35">
        <f>8152*3</f>
        <v>24456</v>
      </c>
      <c r="G345" s="35">
        <f>8152*3</f>
        <v>24456</v>
      </c>
      <c r="H345" s="35">
        <v>0</v>
      </c>
      <c r="I345" s="35">
        <f t="shared" si="45"/>
        <v>24456</v>
      </c>
      <c r="J345" s="36">
        <f t="shared" si="46"/>
        <v>0</v>
      </c>
      <c r="K345" s="48" t="s">
        <v>14</v>
      </c>
      <c r="L345" s="48" t="s">
        <v>14</v>
      </c>
      <c r="M345" s="38">
        <v>43244</v>
      </c>
      <c r="N345" s="48" t="s">
        <v>18</v>
      </c>
      <c r="O345" s="35">
        <v>8152</v>
      </c>
      <c r="P345" s="35">
        <v>8152</v>
      </c>
      <c r="Q345" s="35">
        <v>8152</v>
      </c>
      <c r="R345" s="35"/>
      <c r="S345" s="58"/>
      <c r="T345" s="58"/>
    </row>
    <row r="346" spans="1:20" s="15" customFormat="1" ht="26.25" customHeight="1" x14ac:dyDescent="0.2">
      <c r="A346" s="43" t="s">
        <v>1017</v>
      </c>
      <c r="B346" s="46" t="s">
        <v>69</v>
      </c>
      <c r="C346" s="44" t="s">
        <v>1030</v>
      </c>
      <c r="D346" s="47">
        <v>14545</v>
      </c>
      <c r="E346" s="46" t="s">
        <v>1043</v>
      </c>
      <c r="F346" s="35">
        <v>24125</v>
      </c>
      <c r="G346" s="35">
        <v>24125</v>
      </c>
      <c r="H346" s="35">
        <v>0</v>
      </c>
      <c r="I346" s="35">
        <f t="shared" si="45"/>
        <v>24125</v>
      </c>
      <c r="J346" s="36">
        <f t="shared" si="46"/>
        <v>0</v>
      </c>
      <c r="K346" s="48" t="s">
        <v>14</v>
      </c>
      <c r="L346" s="48" t="s">
        <v>15</v>
      </c>
      <c r="M346" s="38">
        <v>43190</v>
      </c>
      <c r="N346" s="48"/>
      <c r="O346" s="35">
        <v>24125</v>
      </c>
      <c r="P346" s="35"/>
      <c r="Q346" s="35"/>
      <c r="R346" s="35"/>
      <c r="S346" s="58"/>
      <c r="T346" s="58"/>
    </row>
    <row r="347" spans="1:20" s="15" customFormat="1" ht="26.25" customHeight="1" x14ac:dyDescent="0.2">
      <c r="A347" s="43" t="s">
        <v>1018</v>
      </c>
      <c r="B347" s="46" t="s">
        <v>69</v>
      </c>
      <c r="C347" s="44" t="s">
        <v>1031</v>
      </c>
      <c r="D347" s="47">
        <v>14548</v>
      </c>
      <c r="E347" s="46" t="s">
        <v>1044</v>
      </c>
      <c r="F347" s="35">
        <f>24000*3</f>
        <v>72000</v>
      </c>
      <c r="G347" s="35">
        <f>24000*3</f>
        <v>72000</v>
      </c>
      <c r="H347" s="35">
        <v>0</v>
      </c>
      <c r="I347" s="35">
        <f t="shared" si="45"/>
        <v>72000</v>
      </c>
      <c r="J347" s="36">
        <f t="shared" si="46"/>
        <v>0</v>
      </c>
      <c r="K347" s="48" t="s">
        <v>14</v>
      </c>
      <c r="L347" s="48" t="s">
        <v>14</v>
      </c>
      <c r="M347" s="38">
        <v>43217</v>
      </c>
      <c r="N347" s="48" t="s">
        <v>18</v>
      </c>
      <c r="O347" s="35">
        <v>24000</v>
      </c>
      <c r="P347" s="35">
        <v>24000</v>
      </c>
      <c r="Q347" s="35">
        <v>24000</v>
      </c>
      <c r="R347" s="35"/>
      <c r="S347" s="58"/>
      <c r="T347" s="58"/>
    </row>
    <row r="348" spans="1:20" s="15" customFormat="1" ht="26.25" customHeight="1" x14ac:dyDescent="0.2">
      <c r="A348" s="43" t="s">
        <v>1019</v>
      </c>
      <c r="B348" s="46" t="s">
        <v>69</v>
      </c>
      <c r="C348" s="44" t="s">
        <v>1032</v>
      </c>
      <c r="D348" s="47">
        <v>14550</v>
      </c>
      <c r="E348" s="46" t="s">
        <v>1045</v>
      </c>
      <c r="F348" s="35">
        <f>29173+31000+33000</f>
        <v>93173</v>
      </c>
      <c r="G348" s="35">
        <f>29173+31000+33000</f>
        <v>93173</v>
      </c>
      <c r="H348" s="35">
        <v>0</v>
      </c>
      <c r="I348" s="35">
        <f t="shared" si="45"/>
        <v>93173</v>
      </c>
      <c r="J348" s="36">
        <f t="shared" si="46"/>
        <v>0</v>
      </c>
      <c r="K348" s="48" t="s">
        <v>14</v>
      </c>
      <c r="L348" s="48" t="s">
        <v>14</v>
      </c>
      <c r="M348" s="38">
        <v>43190</v>
      </c>
      <c r="N348" s="48" t="s">
        <v>18</v>
      </c>
      <c r="O348" s="35">
        <v>29173</v>
      </c>
      <c r="P348" s="35">
        <v>31000</v>
      </c>
      <c r="Q348" s="35">
        <v>33000</v>
      </c>
      <c r="R348" s="35"/>
      <c r="S348" s="58"/>
      <c r="T348" s="58"/>
    </row>
    <row r="349" spans="1:20" s="15" customFormat="1" ht="26.25" customHeight="1" x14ac:dyDescent="0.2">
      <c r="A349" s="43" t="s">
        <v>1020</v>
      </c>
      <c r="B349" s="46" t="s">
        <v>69</v>
      </c>
      <c r="C349" s="44" t="s">
        <v>1033</v>
      </c>
      <c r="D349" s="47">
        <v>14551</v>
      </c>
      <c r="E349" s="46" t="s">
        <v>1046</v>
      </c>
      <c r="F349" s="35">
        <f>20397+21100+21700</f>
        <v>63197</v>
      </c>
      <c r="G349" s="35">
        <f>20397+21100+21700</f>
        <v>63197</v>
      </c>
      <c r="H349" s="35">
        <v>0</v>
      </c>
      <c r="I349" s="35">
        <f t="shared" si="45"/>
        <v>63197</v>
      </c>
      <c r="J349" s="36">
        <f t="shared" si="46"/>
        <v>0</v>
      </c>
      <c r="K349" s="48" t="s">
        <v>14</v>
      </c>
      <c r="L349" s="48" t="s">
        <v>14</v>
      </c>
      <c r="M349" s="38">
        <v>43226</v>
      </c>
      <c r="N349" s="48" t="s">
        <v>18</v>
      </c>
      <c r="O349" s="35">
        <v>20397</v>
      </c>
      <c r="P349" s="35">
        <v>21100</v>
      </c>
      <c r="Q349" s="35">
        <v>21700</v>
      </c>
      <c r="R349" s="35"/>
      <c r="S349" s="58"/>
      <c r="T349" s="58"/>
    </row>
    <row r="350" spans="1:20" s="15" customFormat="1" ht="26.25" customHeight="1" x14ac:dyDescent="0.2">
      <c r="A350" s="43" t="s">
        <v>1021</v>
      </c>
      <c r="B350" s="46" t="s">
        <v>21</v>
      </c>
      <c r="C350" s="44" t="s">
        <v>1034</v>
      </c>
      <c r="D350" s="47">
        <v>14553</v>
      </c>
      <c r="E350" s="46" t="s">
        <v>1047</v>
      </c>
      <c r="F350" s="35">
        <v>22000</v>
      </c>
      <c r="G350" s="35">
        <v>22000</v>
      </c>
      <c r="H350" s="35">
        <v>0</v>
      </c>
      <c r="I350" s="35">
        <f t="shared" si="45"/>
        <v>22000</v>
      </c>
      <c r="J350" s="36">
        <f t="shared" si="46"/>
        <v>0</v>
      </c>
      <c r="K350" s="48" t="s">
        <v>14</v>
      </c>
      <c r="L350" s="48" t="s">
        <v>15</v>
      </c>
      <c r="M350" s="38">
        <v>42916</v>
      </c>
      <c r="N350" s="48"/>
      <c r="O350" s="35">
        <v>22000</v>
      </c>
      <c r="P350" s="35"/>
      <c r="Q350" s="35"/>
      <c r="R350" s="35"/>
      <c r="S350" s="58"/>
      <c r="T350" s="58"/>
    </row>
    <row r="351" spans="1:20" s="15" customFormat="1" ht="26.25" customHeight="1" x14ac:dyDescent="0.2">
      <c r="A351" s="43" t="s">
        <v>1022</v>
      </c>
      <c r="B351" s="46" t="s">
        <v>69</v>
      </c>
      <c r="C351" s="44" t="s">
        <v>452</v>
      </c>
      <c r="D351" s="47">
        <v>14572</v>
      </c>
      <c r="E351" s="46" t="s">
        <v>1048</v>
      </c>
      <c r="F351" s="35">
        <v>43000</v>
      </c>
      <c r="G351" s="35">
        <v>43000</v>
      </c>
      <c r="H351" s="35">
        <v>0</v>
      </c>
      <c r="I351" s="35">
        <f t="shared" si="45"/>
        <v>43000</v>
      </c>
      <c r="J351" s="36">
        <f t="shared" si="46"/>
        <v>0</v>
      </c>
      <c r="K351" s="48" t="s">
        <v>14</v>
      </c>
      <c r="L351" s="48" t="s">
        <v>14</v>
      </c>
      <c r="M351" s="52">
        <v>43220</v>
      </c>
      <c r="N351" s="48"/>
      <c r="O351" s="35">
        <v>43000</v>
      </c>
      <c r="P351" s="35"/>
      <c r="Q351" s="35"/>
      <c r="R351" s="35"/>
      <c r="S351" s="58"/>
      <c r="T351" s="58"/>
    </row>
    <row r="352" spans="1:20" s="15" customFormat="1" ht="26.25" customHeight="1" x14ac:dyDescent="0.2">
      <c r="A352" s="43" t="s">
        <v>1023</v>
      </c>
      <c r="B352" s="46" t="s">
        <v>21</v>
      </c>
      <c r="C352" s="44" t="s">
        <v>1035</v>
      </c>
      <c r="D352" s="47">
        <v>14590</v>
      </c>
      <c r="E352" s="46" t="s">
        <v>1049</v>
      </c>
      <c r="F352" s="35">
        <f>43500+43500</f>
        <v>87000</v>
      </c>
      <c r="G352" s="35">
        <f>43500+43500</f>
        <v>87000</v>
      </c>
      <c r="H352" s="35">
        <v>0</v>
      </c>
      <c r="I352" s="35">
        <f t="shared" si="45"/>
        <v>87000</v>
      </c>
      <c r="J352" s="36">
        <f t="shared" si="46"/>
        <v>0</v>
      </c>
      <c r="K352" s="48" t="s">
        <v>14</v>
      </c>
      <c r="L352" s="48" t="s">
        <v>15</v>
      </c>
      <c r="M352" s="38">
        <v>43100</v>
      </c>
      <c r="N352" s="48" t="s">
        <v>18</v>
      </c>
      <c r="O352" s="35">
        <v>43500</v>
      </c>
      <c r="P352" s="35">
        <v>43500</v>
      </c>
      <c r="Q352" s="35"/>
      <c r="R352" s="35"/>
      <c r="S352" s="58"/>
      <c r="T352" s="58"/>
    </row>
    <row r="353" spans="1:20" s="15" customFormat="1" ht="26.25" customHeight="1" x14ac:dyDescent="0.2">
      <c r="A353" s="43" t="s">
        <v>1024</v>
      </c>
      <c r="B353" s="46" t="s">
        <v>69</v>
      </c>
      <c r="C353" s="44" t="s">
        <v>1036</v>
      </c>
      <c r="D353" s="47">
        <v>14601</v>
      </c>
      <c r="E353" s="46" t="s">
        <v>1051</v>
      </c>
      <c r="F353" s="35">
        <f>8835*3</f>
        <v>26505</v>
      </c>
      <c r="G353" s="35">
        <f>8835*3</f>
        <v>26505</v>
      </c>
      <c r="H353" s="35">
        <v>0</v>
      </c>
      <c r="I353" s="35">
        <f t="shared" si="45"/>
        <v>26505</v>
      </c>
      <c r="J353" s="36">
        <f t="shared" si="46"/>
        <v>0</v>
      </c>
      <c r="K353" s="48" t="s">
        <v>14</v>
      </c>
      <c r="L353" s="48" t="s">
        <v>14</v>
      </c>
      <c r="M353" s="38">
        <v>43206</v>
      </c>
      <c r="N353" s="48" t="s">
        <v>18</v>
      </c>
      <c r="O353" s="35">
        <v>8835</v>
      </c>
      <c r="P353" s="35">
        <v>8835</v>
      </c>
      <c r="Q353" s="35">
        <v>8835</v>
      </c>
      <c r="R353" s="35"/>
      <c r="S353" s="58"/>
      <c r="T353" s="58"/>
    </row>
    <row r="354" spans="1:20" s="15" customFormat="1" ht="26.25" customHeight="1" x14ac:dyDescent="0.2">
      <c r="A354" s="43" t="s">
        <v>1025</v>
      </c>
      <c r="B354" s="46" t="s">
        <v>21</v>
      </c>
      <c r="C354" s="44" t="s">
        <v>1037</v>
      </c>
      <c r="D354" s="47">
        <v>14603</v>
      </c>
      <c r="E354" s="46" t="s">
        <v>1050</v>
      </c>
      <c r="F354" s="35">
        <v>37050</v>
      </c>
      <c r="G354" s="35">
        <v>37050</v>
      </c>
      <c r="H354" s="35">
        <v>0</v>
      </c>
      <c r="I354" s="35">
        <f t="shared" si="45"/>
        <v>37050</v>
      </c>
      <c r="J354" s="36">
        <f t="shared" si="46"/>
        <v>0</v>
      </c>
      <c r="K354" s="48" t="s">
        <v>15</v>
      </c>
      <c r="L354" s="48" t="s">
        <v>15</v>
      </c>
      <c r="M354" s="38">
        <v>43235</v>
      </c>
      <c r="N354" s="48"/>
      <c r="O354" s="35">
        <v>37050</v>
      </c>
      <c r="P354" s="35"/>
      <c r="Q354" s="35"/>
      <c r="R354" s="35"/>
      <c r="S354" s="58"/>
      <c r="T354" s="58"/>
    </row>
    <row r="355" spans="1:20" s="15" customFormat="1" ht="26.25" customHeight="1" x14ac:dyDescent="0.2">
      <c r="A355" s="43" t="s">
        <v>1052</v>
      </c>
      <c r="B355" s="46" t="s">
        <v>17</v>
      </c>
      <c r="C355" s="44" t="s">
        <v>427</v>
      </c>
      <c r="D355" s="54" t="s">
        <v>1061</v>
      </c>
      <c r="E355" s="46" t="s">
        <v>1062</v>
      </c>
      <c r="F355" s="35">
        <v>13200</v>
      </c>
      <c r="G355" s="35">
        <v>45000</v>
      </c>
      <c r="H355" s="35">
        <v>13200</v>
      </c>
      <c r="I355" s="35">
        <f t="shared" si="45"/>
        <v>58200</v>
      </c>
      <c r="J355" s="36">
        <f t="shared" si="46"/>
        <v>0.29333333333333333</v>
      </c>
      <c r="K355" s="48" t="s">
        <v>14</v>
      </c>
      <c r="L355" s="48" t="s">
        <v>14</v>
      </c>
      <c r="M355" s="38">
        <v>42916</v>
      </c>
      <c r="N355" s="48" t="s">
        <v>28</v>
      </c>
      <c r="O355" s="35">
        <v>13200</v>
      </c>
      <c r="P355" s="35"/>
      <c r="Q355" s="35"/>
      <c r="R355" s="35"/>
      <c r="S355" s="58"/>
      <c r="T355" s="58"/>
    </row>
    <row r="356" spans="1:20" s="15" customFormat="1" ht="26.25" customHeight="1" x14ac:dyDescent="0.2">
      <c r="A356" s="43" t="s">
        <v>1053</v>
      </c>
      <c r="B356" s="46" t="s">
        <v>21</v>
      </c>
      <c r="C356" s="44" t="s">
        <v>1057</v>
      </c>
      <c r="D356" s="47">
        <v>14556</v>
      </c>
      <c r="E356" s="46" t="s">
        <v>1063</v>
      </c>
      <c r="F356" s="35">
        <f>99489+99489</f>
        <v>198978</v>
      </c>
      <c r="G356" s="35">
        <f>99489+99489</f>
        <v>198978</v>
      </c>
      <c r="H356" s="35">
        <v>0</v>
      </c>
      <c r="I356" s="35">
        <f t="shared" ref="I356:I364" si="47">G356+H356</f>
        <v>198978</v>
      </c>
      <c r="J356" s="36">
        <f t="shared" ref="J356:J364" si="48">IF(G356=0,100%,(I356-G356)/G356)</f>
        <v>0</v>
      </c>
      <c r="K356" s="48" t="s">
        <v>15</v>
      </c>
      <c r="L356" s="48" t="s">
        <v>14</v>
      </c>
      <c r="M356" s="38">
        <v>43101</v>
      </c>
      <c r="N356" s="48" t="s">
        <v>18</v>
      </c>
      <c r="O356" s="35">
        <v>99489</v>
      </c>
      <c r="P356" s="35">
        <v>99489</v>
      </c>
      <c r="Q356" s="35"/>
      <c r="R356" s="35"/>
      <c r="S356" s="58"/>
      <c r="T356" s="58"/>
    </row>
    <row r="357" spans="1:20" s="15" customFormat="1" ht="26.25" customHeight="1" x14ac:dyDescent="0.2">
      <c r="A357" s="43" t="s">
        <v>1054</v>
      </c>
      <c r="B357" s="46" t="s">
        <v>69</v>
      </c>
      <c r="C357" s="44" t="s">
        <v>1058</v>
      </c>
      <c r="D357" s="47">
        <v>14558</v>
      </c>
      <c r="E357" s="46" t="s">
        <v>1064</v>
      </c>
      <c r="F357" s="35">
        <f>99000*3</f>
        <v>297000</v>
      </c>
      <c r="G357" s="35">
        <f>99000*3</f>
        <v>297000</v>
      </c>
      <c r="H357" s="35">
        <v>0</v>
      </c>
      <c r="I357" s="35">
        <f t="shared" si="47"/>
        <v>297000</v>
      </c>
      <c r="J357" s="36">
        <f t="shared" si="48"/>
        <v>0</v>
      </c>
      <c r="K357" s="48" t="s">
        <v>14</v>
      </c>
      <c r="L357" s="48" t="s">
        <v>15</v>
      </c>
      <c r="M357" s="38">
        <v>43220</v>
      </c>
      <c r="N357" s="48" t="s">
        <v>18</v>
      </c>
      <c r="O357" s="35">
        <v>99000</v>
      </c>
      <c r="P357" s="35">
        <v>99000</v>
      </c>
      <c r="Q357" s="35">
        <v>99000</v>
      </c>
      <c r="R357" s="35"/>
      <c r="S357" s="58"/>
      <c r="T357" s="58"/>
    </row>
    <row r="358" spans="1:20" s="15" customFormat="1" ht="26.25" customHeight="1" x14ac:dyDescent="0.2">
      <c r="A358" s="43" t="s">
        <v>1055</v>
      </c>
      <c r="B358" s="46" t="s">
        <v>843</v>
      </c>
      <c r="C358" s="44" t="s">
        <v>1059</v>
      </c>
      <c r="D358" s="47">
        <v>14734</v>
      </c>
      <c r="E358" s="46" t="s">
        <v>1065</v>
      </c>
      <c r="F358" s="35">
        <v>77500</v>
      </c>
      <c r="G358" s="35">
        <v>77500</v>
      </c>
      <c r="H358" s="35">
        <v>0</v>
      </c>
      <c r="I358" s="35">
        <f t="shared" si="47"/>
        <v>77500</v>
      </c>
      <c r="J358" s="36">
        <f t="shared" si="48"/>
        <v>0</v>
      </c>
      <c r="K358" s="48" t="s">
        <v>14</v>
      </c>
      <c r="L358" s="48" t="s">
        <v>14</v>
      </c>
      <c r="M358" s="38">
        <v>43131</v>
      </c>
      <c r="N358" s="48"/>
      <c r="O358" s="35">
        <v>77500</v>
      </c>
      <c r="P358" s="35"/>
      <c r="Q358" s="35"/>
      <c r="R358" s="35"/>
      <c r="S358" s="58"/>
      <c r="T358" s="58"/>
    </row>
    <row r="359" spans="1:20" s="15" customFormat="1" ht="26.25" customHeight="1" x14ac:dyDescent="0.2">
      <c r="A359" s="43" t="s">
        <v>1056</v>
      </c>
      <c r="B359" s="46" t="s">
        <v>166</v>
      </c>
      <c r="C359" s="44" t="s">
        <v>1060</v>
      </c>
      <c r="D359" s="47">
        <v>14617</v>
      </c>
      <c r="E359" s="46" t="s">
        <v>1066</v>
      </c>
      <c r="F359" s="35">
        <v>84802</v>
      </c>
      <c r="G359" s="35">
        <v>84802</v>
      </c>
      <c r="H359" s="35">
        <v>0</v>
      </c>
      <c r="I359" s="35">
        <f t="shared" si="47"/>
        <v>84802</v>
      </c>
      <c r="J359" s="36">
        <f t="shared" si="48"/>
        <v>0</v>
      </c>
      <c r="K359" s="48" t="s">
        <v>15</v>
      </c>
      <c r="L359" s="48" t="s">
        <v>15</v>
      </c>
      <c r="M359" s="38">
        <v>42947</v>
      </c>
      <c r="N359" s="48"/>
      <c r="O359" s="35">
        <v>84802</v>
      </c>
      <c r="P359" s="35"/>
      <c r="Q359" s="35"/>
      <c r="R359" s="35"/>
      <c r="S359" s="58"/>
      <c r="T359" s="58"/>
    </row>
    <row r="360" spans="1:20" s="15" customFormat="1" ht="26.25" customHeight="1" x14ac:dyDescent="0.2">
      <c r="A360" s="43" t="s">
        <v>1067</v>
      </c>
      <c r="B360" s="46" t="s">
        <v>17</v>
      </c>
      <c r="C360" s="44" t="s">
        <v>1072</v>
      </c>
      <c r="D360" s="47">
        <v>14530</v>
      </c>
      <c r="E360" s="46" t="s">
        <v>1078</v>
      </c>
      <c r="F360" s="35">
        <f>99000*2</f>
        <v>198000</v>
      </c>
      <c r="G360" s="35">
        <f>99000*2</f>
        <v>198000</v>
      </c>
      <c r="H360" s="35">
        <v>0</v>
      </c>
      <c r="I360" s="35">
        <f t="shared" si="47"/>
        <v>198000</v>
      </c>
      <c r="J360" s="36">
        <f t="shared" si="48"/>
        <v>0</v>
      </c>
      <c r="K360" s="48" t="s">
        <v>14</v>
      </c>
      <c r="L360" s="48" t="s">
        <v>14</v>
      </c>
      <c r="M360" s="38">
        <v>43281</v>
      </c>
      <c r="N360" s="48" t="s">
        <v>18</v>
      </c>
      <c r="O360" s="35">
        <v>99000</v>
      </c>
      <c r="P360" s="35">
        <v>99000</v>
      </c>
      <c r="Q360" s="35"/>
      <c r="R360" s="35"/>
      <c r="S360" s="58"/>
      <c r="T360" s="58"/>
    </row>
    <row r="361" spans="1:20" s="15" customFormat="1" ht="26.25" customHeight="1" x14ac:dyDescent="0.2">
      <c r="A361" s="43" t="s">
        <v>1068</v>
      </c>
      <c r="B361" s="46" t="s">
        <v>92</v>
      </c>
      <c r="C361" s="44" t="s">
        <v>479</v>
      </c>
      <c r="D361" s="54" t="s">
        <v>1076</v>
      </c>
      <c r="E361" s="46" t="s">
        <v>1079</v>
      </c>
      <c r="F361" s="35">
        <v>37739</v>
      </c>
      <c r="G361" s="35">
        <v>37832</v>
      </c>
      <c r="H361" s="35">
        <v>37739</v>
      </c>
      <c r="I361" s="35">
        <f t="shared" si="47"/>
        <v>75571</v>
      </c>
      <c r="J361" s="36">
        <f t="shared" si="48"/>
        <v>0.99754176358638191</v>
      </c>
      <c r="K361" s="48" t="s">
        <v>14</v>
      </c>
      <c r="L361" s="48" t="s">
        <v>14</v>
      </c>
      <c r="M361" s="38">
        <v>42916</v>
      </c>
      <c r="N361" s="48" t="s">
        <v>28</v>
      </c>
      <c r="O361" s="35">
        <v>37739</v>
      </c>
      <c r="P361" s="35"/>
      <c r="Q361" s="35"/>
      <c r="R361" s="35"/>
      <c r="S361" s="58"/>
      <c r="T361" s="58"/>
    </row>
    <row r="362" spans="1:20" s="15" customFormat="1" ht="26.25" customHeight="1" x14ac:dyDescent="0.2">
      <c r="A362" s="43" t="s">
        <v>1069</v>
      </c>
      <c r="B362" s="46" t="s">
        <v>21</v>
      </c>
      <c r="C362" s="44" t="s">
        <v>1073</v>
      </c>
      <c r="D362" s="47">
        <v>14585</v>
      </c>
      <c r="E362" s="46" t="s">
        <v>1080</v>
      </c>
      <c r="F362" s="35">
        <f>98000*3</f>
        <v>294000</v>
      </c>
      <c r="G362" s="35">
        <f>98000*3</f>
        <v>294000</v>
      </c>
      <c r="H362" s="35">
        <v>0</v>
      </c>
      <c r="I362" s="35">
        <f t="shared" si="47"/>
        <v>294000</v>
      </c>
      <c r="J362" s="36">
        <f t="shared" si="48"/>
        <v>0</v>
      </c>
      <c r="K362" s="48" t="s">
        <v>14</v>
      </c>
      <c r="L362" s="48" t="s">
        <v>14</v>
      </c>
      <c r="M362" s="38">
        <v>43281</v>
      </c>
      <c r="N362" s="48" t="s">
        <v>18</v>
      </c>
      <c r="O362" s="35">
        <v>98000</v>
      </c>
      <c r="P362" s="35">
        <v>98000</v>
      </c>
      <c r="Q362" s="35">
        <v>98000</v>
      </c>
      <c r="R362" s="35"/>
      <c r="S362" s="58"/>
      <c r="T362" s="58"/>
    </row>
    <row r="363" spans="1:20" s="15" customFormat="1" ht="26.25" customHeight="1" x14ac:dyDescent="0.2">
      <c r="A363" s="43" t="s">
        <v>1070</v>
      </c>
      <c r="B363" s="46" t="s">
        <v>20</v>
      </c>
      <c r="C363" s="44" t="s">
        <v>1074</v>
      </c>
      <c r="D363" s="54" t="s">
        <v>1077</v>
      </c>
      <c r="E363" s="46" t="s">
        <v>1081</v>
      </c>
      <c r="F363" s="35">
        <f>25000+25000</f>
        <v>50000</v>
      </c>
      <c r="G363" s="35">
        <v>25000</v>
      </c>
      <c r="H363" s="35">
        <f>25000+25000</f>
        <v>50000</v>
      </c>
      <c r="I363" s="35">
        <f t="shared" si="47"/>
        <v>75000</v>
      </c>
      <c r="J363" s="36">
        <f t="shared" si="48"/>
        <v>2</v>
      </c>
      <c r="K363" s="48" t="s">
        <v>14</v>
      </c>
      <c r="L363" s="48" t="s">
        <v>14</v>
      </c>
      <c r="M363" s="38">
        <v>42916</v>
      </c>
      <c r="N363" s="48" t="s">
        <v>28</v>
      </c>
      <c r="O363" s="35">
        <v>25000</v>
      </c>
      <c r="P363" s="35">
        <v>25000</v>
      </c>
      <c r="Q363" s="35"/>
      <c r="R363" s="35"/>
      <c r="S363" s="58"/>
      <c r="T363" s="58"/>
    </row>
    <row r="364" spans="1:20" s="15" customFormat="1" ht="26.25" customHeight="1" x14ac:dyDescent="0.2">
      <c r="A364" s="43" t="s">
        <v>1071</v>
      </c>
      <c r="B364" s="46" t="s">
        <v>17</v>
      </c>
      <c r="C364" s="44" t="s">
        <v>1075</v>
      </c>
      <c r="D364" s="47">
        <v>14667</v>
      </c>
      <c r="E364" s="46" t="s">
        <v>1082</v>
      </c>
      <c r="F364" s="35">
        <v>95000</v>
      </c>
      <c r="G364" s="35">
        <v>95000</v>
      </c>
      <c r="H364" s="35">
        <v>0</v>
      </c>
      <c r="I364" s="35">
        <f t="shared" si="47"/>
        <v>95000</v>
      </c>
      <c r="J364" s="36">
        <f t="shared" si="48"/>
        <v>0</v>
      </c>
      <c r="K364" s="48" t="s">
        <v>14</v>
      </c>
      <c r="L364" s="48" t="s">
        <v>15</v>
      </c>
      <c r="M364" s="38">
        <v>43281</v>
      </c>
      <c r="N364" s="48"/>
      <c r="O364" s="35">
        <v>95000</v>
      </c>
      <c r="P364" s="35"/>
      <c r="Q364" s="35"/>
      <c r="R364" s="35"/>
      <c r="S364" s="58"/>
      <c r="T364" s="58"/>
    </row>
    <row r="365" spans="1:20" s="15" customFormat="1" ht="26.25" customHeight="1" x14ac:dyDescent="0.2">
      <c r="A365" s="43" t="s">
        <v>1083</v>
      </c>
      <c r="B365" s="46" t="s">
        <v>20</v>
      </c>
      <c r="C365" s="44" t="s">
        <v>255</v>
      </c>
      <c r="D365" s="54" t="s">
        <v>1097</v>
      </c>
      <c r="E365" s="46" t="s">
        <v>1098</v>
      </c>
      <c r="F365" s="35">
        <f>6000*3</f>
        <v>18000</v>
      </c>
      <c r="G365" s="35">
        <v>5500</v>
      </c>
      <c r="H365" s="35">
        <f>6000*3</f>
        <v>18000</v>
      </c>
      <c r="I365" s="35">
        <f t="shared" ref="I365:I372" si="49">G365+H365</f>
        <v>23500</v>
      </c>
      <c r="J365" s="36">
        <f t="shared" ref="J365:J372" si="50">IF(G365=0,100%,(I365-G365)/G365)</f>
        <v>3.2727272727272729</v>
      </c>
      <c r="K365" s="48" t="s">
        <v>14</v>
      </c>
      <c r="L365" s="48" t="s">
        <v>14</v>
      </c>
      <c r="M365" s="38">
        <v>42916</v>
      </c>
      <c r="N365" s="48" t="s">
        <v>28</v>
      </c>
      <c r="O365" s="35">
        <v>6000</v>
      </c>
      <c r="P365" s="35">
        <v>6000</v>
      </c>
      <c r="Q365" s="35">
        <v>6000</v>
      </c>
      <c r="R365" s="35"/>
      <c r="S365" s="58"/>
      <c r="T365" s="58"/>
    </row>
    <row r="366" spans="1:20" s="15" customFormat="1" ht="26.25" customHeight="1" x14ac:dyDescent="0.2">
      <c r="A366" s="43" t="s">
        <v>1084</v>
      </c>
      <c r="B366" s="46" t="s">
        <v>20</v>
      </c>
      <c r="C366" s="44" t="s">
        <v>1091</v>
      </c>
      <c r="D366" s="47">
        <v>14516</v>
      </c>
      <c r="E366" s="46" t="s">
        <v>1099</v>
      </c>
      <c r="F366" s="35">
        <f>36000*3</f>
        <v>108000</v>
      </c>
      <c r="G366" s="35">
        <f>36000*3</f>
        <v>108000</v>
      </c>
      <c r="H366" s="35">
        <v>0</v>
      </c>
      <c r="I366" s="35">
        <f t="shared" si="49"/>
        <v>108000</v>
      </c>
      <c r="J366" s="36">
        <f t="shared" si="50"/>
        <v>0</v>
      </c>
      <c r="K366" s="48" t="s">
        <v>14</v>
      </c>
      <c r="L366" s="48" t="s">
        <v>15</v>
      </c>
      <c r="M366" s="38">
        <v>43221</v>
      </c>
      <c r="N366" s="48" t="s">
        <v>18</v>
      </c>
      <c r="O366" s="35">
        <v>36000</v>
      </c>
      <c r="P366" s="35">
        <v>36000</v>
      </c>
      <c r="Q366" s="35">
        <v>36000</v>
      </c>
      <c r="R366" s="35"/>
      <c r="S366" s="58"/>
      <c r="T366" s="58"/>
    </row>
    <row r="367" spans="1:20" s="15" customFormat="1" ht="26.25" customHeight="1" x14ac:dyDescent="0.2">
      <c r="A367" s="43" t="s">
        <v>1085</v>
      </c>
      <c r="B367" s="46" t="s">
        <v>20</v>
      </c>
      <c r="C367" s="44" t="s">
        <v>1092</v>
      </c>
      <c r="D367" s="47">
        <v>14517</v>
      </c>
      <c r="E367" s="46" t="s">
        <v>1099</v>
      </c>
      <c r="F367" s="35">
        <f>9000*3</f>
        <v>27000</v>
      </c>
      <c r="G367" s="35">
        <f>9000*3</f>
        <v>27000</v>
      </c>
      <c r="H367" s="35">
        <v>0</v>
      </c>
      <c r="I367" s="35">
        <f t="shared" si="49"/>
        <v>27000</v>
      </c>
      <c r="J367" s="36">
        <f t="shared" si="50"/>
        <v>0</v>
      </c>
      <c r="K367" s="48" t="s">
        <v>14</v>
      </c>
      <c r="L367" s="48" t="s">
        <v>15</v>
      </c>
      <c r="M367" s="38">
        <v>43221</v>
      </c>
      <c r="N367" s="48" t="s">
        <v>18</v>
      </c>
      <c r="O367" s="35">
        <v>9000</v>
      </c>
      <c r="P367" s="35">
        <v>9000</v>
      </c>
      <c r="Q367" s="35">
        <v>9000</v>
      </c>
      <c r="R367" s="35"/>
      <c r="S367" s="58"/>
      <c r="T367" s="58"/>
    </row>
    <row r="368" spans="1:20" s="15" customFormat="1" ht="26.25" customHeight="1" x14ac:dyDescent="0.2">
      <c r="A368" s="43" t="s">
        <v>1086</v>
      </c>
      <c r="B368" s="46" t="s">
        <v>92</v>
      </c>
      <c r="C368" s="44" t="s">
        <v>43</v>
      </c>
      <c r="D368" s="47">
        <v>14568</v>
      </c>
      <c r="E368" s="46" t="s">
        <v>1100</v>
      </c>
      <c r="F368" s="35">
        <v>38962</v>
      </c>
      <c r="G368" s="35">
        <v>38962</v>
      </c>
      <c r="H368" s="35">
        <v>0</v>
      </c>
      <c r="I368" s="35">
        <f t="shared" si="49"/>
        <v>38962</v>
      </c>
      <c r="J368" s="36">
        <f t="shared" si="50"/>
        <v>0</v>
      </c>
      <c r="K368" s="48" t="s">
        <v>14</v>
      </c>
      <c r="L368" s="48" t="s">
        <v>15</v>
      </c>
      <c r="M368" s="38">
        <v>43646</v>
      </c>
      <c r="N368" s="48"/>
      <c r="O368" s="35">
        <v>38962</v>
      </c>
      <c r="P368" s="35"/>
      <c r="Q368" s="35"/>
      <c r="R368" s="35"/>
      <c r="S368" s="58"/>
      <c r="T368" s="58"/>
    </row>
    <row r="369" spans="1:20" s="15" customFormat="1" ht="18" customHeight="1" x14ac:dyDescent="0.2">
      <c r="A369" s="43" t="s">
        <v>1087</v>
      </c>
      <c r="B369" s="46" t="s">
        <v>30</v>
      </c>
      <c r="C369" s="44" t="s">
        <v>1093</v>
      </c>
      <c r="D369" s="47">
        <v>14580</v>
      </c>
      <c r="E369" s="46" t="s">
        <v>1101</v>
      </c>
      <c r="F369" s="35">
        <v>24652</v>
      </c>
      <c r="G369" s="35">
        <v>24652</v>
      </c>
      <c r="H369" s="35">
        <v>0</v>
      </c>
      <c r="I369" s="35">
        <f t="shared" si="49"/>
        <v>24652</v>
      </c>
      <c r="J369" s="36">
        <f t="shared" si="50"/>
        <v>0</v>
      </c>
      <c r="K369" s="48" t="s">
        <v>14</v>
      </c>
      <c r="L369" s="48" t="s">
        <v>15</v>
      </c>
      <c r="M369" s="38">
        <v>43617</v>
      </c>
      <c r="N369" s="48"/>
      <c r="O369" s="35">
        <v>24652</v>
      </c>
      <c r="P369" s="35"/>
      <c r="Q369" s="35"/>
      <c r="R369" s="35"/>
      <c r="S369" s="58"/>
      <c r="T369" s="58"/>
    </row>
    <row r="370" spans="1:20" s="15" customFormat="1" ht="26.25" customHeight="1" x14ac:dyDescent="0.2">
      <c r="A370" s="43" t="s">
        <v>1088</v>
      </c>
      <c r="B370" s="46" t="s">
        <v>69</v>
      </c>
      <c r="C370" s="44" t="s">
        <v>1094</v>
      </c>
      <c r="D370" s="47">
        <v>14618</v>
      </c>
      <c r="E370" s="46" t="s">
        <v>1102</v>
      </c>
      <c r="F370" s="35">
        <f>6995*3</f>
        <v>20985</v>
      </c>
      <c r="G370" s="35">
        <f>6995*3</f>
        <v>20985</v>
      </c>
      <c r="H370" s="35">
        <v>0</v>
      </c>
      <c r="I370" s="35">
        <f t="shared" si="49"/>
        <v>20985</v>
      </c>
      <c r="J370" s="36">
        <f t="shared" si="50"/>
        <v>0</v>
      </c>
      <c r="K370" s="48" t="s">
        <v>14</v>
      </c>
      <c r="L370" s="48" t="s">
        <v>14</v>
      </c>
      <c r="M370" s="38">
        <v>43210</v>
      </c>
      <c r="N370" s="48" t="s">
        <v>18</v>
      </c>
      <c r="O370" s="35">
        <v>6995</v>
      </c>
      <c r="P370" s="35">
        <v>6995</v>
      </c>
      <c r="Q370" s="35">
        <v>6995</v>
      </c>
      <c r="R370" s="35"/>
      <c r="S370" s="58"/>
      <c r="T370" s="58"/>
    </row>
    <row r="371" spans="1:20" s="15" customFormat="1" ht="26.25" customHeight="1" x14ac:dyDescent="0.2">
      <c r="A371" s="43" t="s">
        <v>1089</v>
      </c>
      <c r="B371" s="46" t="s">
        <v>69</v>
      </c>
      <c r="C371" s="44" t="s">
        <v>1095</v>
      </c>
      <c r="D371" s="47">
        <v>14656</v>
      </c>
      <c r="E371" s="46" t="s">
        <v>1103</v>
      </c>
      <c r="F371" s="35">
        <f>10854+11000+11500</f>
        <v>33354</v>
      </c>
      <c r="G371" s="35">
        <f>10854+11000+11500</f>
        <v>33354</v>
      </c>
      <c r="H371" s="35">
        <v>0</v>
      </c>
      <c r="I371" s="35">
        <f t="shared" si="49"/>
        <v>33354</v>
      </c>
      <c r="J371" s="36">
        <f t="shared" si="50"/>
        <v>0</v>
      </c>
      <c r="K371" s="48" t="s">
        <v>14</v>
      </c>
      <c r="L371" s="48" t="s">
        <v>14</v>
      </c>
      <c r="M371" s="38">
        <v>43208</v>
      </c>
      <c r="N371" s="48" t="s">
        <v>18</v>
      </c>
      <c r="O371" s="35">
        <v>10854</v>
      </c>
      <c r="P371" s="35">
        <v>11000</v>
      </c>
      <c r="Q371" s="35">
        <v>11500</v>
      </c>
      <c r="R371" s="35"/>
      <c r="S371" s="58"/>
      <c r="T371" s="58"/>
    </row>
    <row r="372" spans="1:20" s="15" customFormat="1" ht="26.25" customHeight="1" x14ac:dyDescent="0.2">
      <c r="A372" s="43" t="s">
        <v>1090</v>
      </c>
      <c r="B372" s="46" t="s">
        <v>69</v>
      </c>
      <c r="C372" s="44" t="s">
        <v>1096</v>
      </c>
      <c r="D372" s="47">
        <v>14669</v>
      </c>
      <c r="E372" s="46" t="s">
        <v>1104</v>
      </c>
      <c r="F372" s="35">
        <f>34184+35000+35000</f>
        <v>104184</v>
      </c>
      <c r="G372" s="35">
        <f>34184+35000+35000</f>
        <v>104184</v>
      </c>
      <c r="H372" s="35">
        <v>0</v>
      </c>
      <c r="I372" s="35">
        <f t="shared" si="49"/>
        <v>104184</v>
      </c>
      <c r="J372" s="36">
        <f t="shared" si="50"/>
        <v>0</v>
      </c>
      <c r="K372" s="48" t="s">
        <v>14</v>
      </c>
      <c r="L372" s="48" t="s">
        <v>14</v>
      </c>
      <c r="M372" s="38">
        <v>43230</v>
      </c>
      <c r="N372" s="48" t="s">
        <v>18</v>
      </c>
      <c r="O372" s="35">
        <v>34184</v>
      </c>
      <c r="P372" s="35">
        <v>35000</v>
      </c>
      <c r="Q372" s="35">
        <v>35000</v>
      </c>
      <c r="R372" s="35"/>
      <c r="S372" s="58"/>
      <c r="T372" s="58"/>
    </row>
    <row r="373" spans="1:20" s="15" customFormat="1" ht="26.25" customHeight="1" x14ac:dyDescent="0.2">
      <c r="A373" s="43" t="s">
        <v>1105</v>
      </c>
      <c r="B373" s="46" t="s">
        <v>69</v>
      </c>
      <c r="C373" s="44" t="s">
        <v>924</v>
      </c>
      <c r="D373" s="47">
        <v>14570</v>
      </c>
      <c r="E373" s="46" t="s">
        <v>1109</v>
      </c>
      <c r="F373" s="35">
        <v>95825</v>
      </c>
      <c r="G373" s="35">
        <v>95825</v>
      </c>
      <c r="H373" s="35">
        <v>0</v>
      </c>
      <c r="I373" s="35">
        <f t="shared" ref="I373:I383" si="51">G373+H373</f>
        <v>95825</v>
      </c>
      <c r="J373" s="36">
        <f t="shared" ref="J373:J383" si="52">IF(G373=0,100%,(I373-G373)/G373)</f>
        <v>0</v>
      </c>
      <c r="K373" s="48" t="s">
        <v>14</v>
      </c>
      <c r="L373" s="48" t="s">
        <v>14</v>
      </c>
      <c r="M373" s="38">
        <v>43220</v>
      </c>
      <c r="N373" s="48"/>
      <c r="O373" s="35">
        <v>95825</v>
      </c>
      <c r="P373" s="35"/>
      <c r="Q373" s="35"/>
      <c r="R373" s="35"/>
      <c r="S373" s="58"/>
      <c r="T373" s="58"/>
    </row>
    <row r="374" spans="1:20" s="15" customFormat="1" ht="26.25" customHeight="1" x14ac:dyDescent="0.2">
      <c r="A374" s="43" t="s">
        <v>1106</v>
      </c>
      <c r="B374" s="46" t="s">
        <v>23</v>
      </c>
      <c r="C374" s="44" t="s">
        <v>1107</v>
      </c>
      <c r="D374" s="47">
        <v>14729</v>
      </c>
      <c r="E374" s="46" t="s">
        <v>1108</v>
      </c>
      <c r="F374" s="35">
        <v>60396</v>
      </c>
      <c r="G374" s="35">
        <v>710192</v>
      </c>
      <c r="H374" s="35">
        <f>125579+60396</f>
        <v>185975</v>
      </c>
      <c r="I374" s="35">
        <f t="shared" si="51"/>
        <v>896167</v>
      </c>
      <c r="J374" s="36">
        <f t="shared" si="52"/>
        <v>0.26186580530335457</v>
      </c>
      <c r="K374" s="48" t="s">
        <v>14</v>
      </c>
      <c r="L374" s="48" t="s">
        <v>14</v>
      </c>
      <c r="M374" s="38">
        <v>43359</v>
      </c>
      <c r="N374" s="48" t="s">
        <v>28</v>
      </c>
      <c r="O374" s="35"/>
      <c r="P374" s="35">
        <v>60396</v>
      </c>
      <c r="Q374" s="35"/>
      <c r="R374" s="35"/>
      <c r="S374" s="58"/>
      <c r="T374" s="58"/>
    </row>
    <row r="375" spans="1:20" s="15" customFormat="1" ht="26.25" customHeight="1" x14ac:dyDescent="0.2">
      <c r="A375" s="43" t="s">
        <v>1110</v>
      </c>
      <c r="B375" s="46" t="s">
        <v>21</v>
      </c>
      <c r="C375" s="44" t="s">
        <v>557</v>
      </c>
      <c r="D375" s="47">
        <v>14725</v>
      </c>
      <c r="E375" s="46" t="s">
        <v>1113</v>
      </c>
      <c r="F375" s="35">
        <v>45000</v>
      </c>
      <c r="G375" s="35">
        <v>49000</v>
      </c>
      <c r="H375" s="35">
        <v>45000</v>
      </c>
      <c r="I375" s="35">
        <f t="shared" si="51"/>
        <v>94000</v>
      </c>
      <c r="J375" s="36">
        <f t="shared" si="52"/>
        <v>0.91836734693877553</v>
      </c>
      <c r="K375" s="48" t="s">
        <v>14</v>
      </c>
      <c r="L375" s="48" t="s">
        <v>14</v>
      </c>
      <c r="M375" s="38">
        <v>42916</v>
      </c>
      <c r="N375" s="48" t="s">
        <v>28</v>
      </c>
      <c r="O375" s="35">
        <v>45000</v>
      </c>
      <c r="P375" s="35"/>
      <c r="Q375" s="35"/>
      <c r="R375" s="35"/>
      <c r="S375" s="58"/>
      <c r="T375" s="58"/>
    </row>
    <row r="376" spans="1:20" s="15" customFormat="1" ht="26.25" customHeight="1" x14ac:dyDescent="0.2">
      <c r="A376" s="43" t="s">
        <v>1111</v>
      </c>
      <c r="B376" s="46" t="s">
        <v>22</v>
      </c>
      <c r="C376" s="44" t="s">
        <v>1112</v>
      </c>
      <c r="D376" s="47">
        <v>14694</v>
      </c>
      <c r="E376" s="46" t="s">
        <v>1114</v>
      </c>
      <c r="F376" s="35">
        <f>99000*3</f>
        <v>297000</v>
      </c>
      <c r="G376" s="35">
        <f>99000*3</f>
        <v>297000</v>
      </c>
      <c r="H376" s="35">
        <v>0</v>
      </c>
      <c r="I376" s="35">
        <f t="shared" si="51"/>
        <v>297000</v>
      </c>
      <c r="J376" s="36">
        <f t="shared" si="52"/>
        <v>0</v>
      </c>
      <c r="K376" s="48" t="s">
        <v>14</v>
      </c>
      <c r="L376" s="48" t="s">
        <v>14</v>
      </c>
      <c r="M376" s="38">
        <v>43281</v>
      </c>
      <c r="N376" s="48" t="s">
        <v>18</v>
      </c>
      <c r="O376" s="35">
        <v>99000</v>
      </c>
      <c r="P376" s="35">
        <v>99000</v>
      </c>
      <c r="Q376" s="35">
        <v>99000</v>
      </c>
      <c r="R376" s="35"/>
      <c r="S376" s="58"/>
      <c r="T376" s="58"/>
    </row>
    <row r="377" spans="1:20" s="15" customFormat="1" ht="26.25" customHeight="1" x14ac:dyDescent="0.2">
      <c r="A377" s="43" t="s">
        <v>1115</v>
      </c>
      <c r="B377" s="46" t="s">
        <v>17</v>
      </c>
      <c r="C377" s="44" t="s">
        <v>1120</v>
      </c>
      <c r="D377" s="47">
        <v>14629</v>
      </c>
      <c r="E377" s="46" t="s">
        <v>1125</v>
      </c>
      <c r="F377" s="35">
        <v>24400</v>
      </c>
      <c r="G377" s="35">
        <v>24400</v>
      </c>
      <c r="H377" s="35">
        <v>0</v>
      </c>
      <c r="I377" s="35">
        <f t="shared" si="51"/>
        <v>24400</v>
      </c>
      <c r="J377" s="36">
        <f t="shared" si="52"/>
        <v>0</v>
      </c>
      <c r="K377" s="48" t="s">
        <v>14</v>
      </c>
      <c r="L377" s="48" t="s">
        <v>14</v>
      </c>
      <c r="M377" s="38">
        <v>43281</v>
      </c>
      <c r="N377" s="48"/>
      <c r="O377" s="35">
        <v>24400</v>
      </c>
      <c r="P377" s="35"/>
      <c r="Q377" s="35"/>
      <c r="R377" s="35"/>
      <c r="S377" s="58"/>
      <c r="T377" s="58"/>
    </row>
    <row r="378" spans="1:20" s="15" customFormat="1" ht="26.25" customHeight="1" x14ac:dyDescent="0.2">
      <c r="A378" s="43" t="s">
        <v>1116</v>
      </c>
      <c r="B378" s="46" t="s">
        <v>474</v>
      </c>
      <c r="C378" s="44" t="s">
        <v>1121</v>
      </c>
      <c r="D378" s="47">
        <v>14663</v>
      </c>
      <c r="E378" s="46" t="s">
        <v>1126</v>
      </c>
      <c r="F378" s="35">
        <v>30000</v>
      </c>
      <c r="G378" s="35">
        <v>30000</v>
      </c>
      <c r="H378" s="35">
        <v>0</v>
      </c>
      <c r="I378" s="35">
        <f t="shared" si="51"/>
        <v>30000</v>
      </c>
      <c r="J378" s="36">
        <f t="shared" si="52"/>
        <v>0</v>
      </c>
      <c r="K378" s="48" t="s">
        <v>14</v>
      </c>
      <c r="L378" s="48" t="s">
        <v>14</v>
      </c>
      <c r="M378" s="38">
        <v>43281</v>
      </c>
      <c r="N378" s="48"/>
      <c r="O378" s="35">
        <v>30000</v>
      </c>
      <c r="P378" s="35"/>
      <c r="Q378" s="35"/>
      <c r="R378" s="35"/>
      <c r="S378" s="58"/>
      <c r="T378" s="58"/>
    </row>
    <row r="379" spans="1:20" s="15" customFormat="1" ht="26.25" customHeight="1" x14ac:dyDescent="0.2">
      <c r="A379" s="43" t="s">
        <v>1117</v>
      </c>
      <c r="B379" s="46" t="s">
        <v>69</v>
      </c>
      <c r="C379" s="44" t="s">
        <v>1122</v>
      </c>
      <c r="D379" s="47">
        <v>14670</v>
      </c>
      <c r="E379" s="46" t="s">
        <v>1127</v>
      </c>
      <c r="F379" s="35">
        <f>48000*3</f>
        <v>144000</v>
      </c>
      <c r="G379" s="35">
        <f>48000*3</f>
        <v>144000</v>
      </c>
      <c r="H379" s="35">
        <v>0</v>
      </c>
      <c r="I379" s="35">
        <f t="shared" si="51"/>
        <v>144000</v>
      </c>
      <c r="J379" s="36">
        <f t="shared" si="52"/>
        <v>0</v>
      </c>
      <c r="K379" s="48" t="s">
        <v>14</v>
      </c>
      <c r="L379" s="48" t="s">
        <v>14</v>
      </c>
      <c r="M379" s="38">
        <v>43220</v>
      </c>
      <c r="N379" s="48" t="s">
        <v>18</v>
      </c>
      <c r="O379" s="35">
        <v>48000</v>
      </c>
      <c r="P379" s="35">
        <v>48000</v>
      </c>
      <c r="Q379" s="35">
        <v>48000</v>
      </c>
      <c r="R379" s="35"/>
      <c r="S379" s="58"/>
      <c r="T379" s="58"/>
    </row>
    <row r="380" spans="1:20" s="15" customFormat="1" ht="26.25" customHeight="1" x14ac:dyDescent="0.2">
      <c r="A380" s="43" t="s">
        <v>1118</v>
      </c>
      <c r="B380" s="46" t="s">
        <v>31</v>
      </c>
      <c r="C380" s="44" t="s">
        <v>1123</v>
      </c>
      <c r="D380" s="47">
        <v>14717</v>
      </c>
      <c r="E380" s="46" t="s">
        <v>1128</v>
      </c>
      <c r="F380" s="35">
        <v>28750</v>
      </c>
      <c r="G380" s="35">
        <v>28750</v>
      </c>
      <c r="H380" s="35">
        <v>0</v>
      </c>
      <c r="I380" s="35">
        <f t="shared" si="51"/>
        <v>28750</v>
      </c>
      <c r="J380" s="36">
        <f t="shared" si="52"/>
        <v>0</v>
      </c>
      <c r="K380" s="48" t="s">
        <v>14</v>
      </c>
      <c r="L380" s="48" t="s">
        <v>14</v>
      </c>
      <c r="M380" s="38">
        <v>43100</v>
      </c>
      <c r="N380" s="48"/>
      <c r="O380" s="35">
        <v>28750</v>
      </c>
      <c r="P380" s="35"/>
      <c r="Q380" s="35"/>
      <c r="R380" s="35"/>
      <c r="S380" s="58"/>
      <c r="T380" s="58"/>
    </row>
    <row r="381" spans="1:20" s="15" customFormat="1" ht="18" customHeight="1" x14ac:dyDescent="0.2">
      <c r="A381" s="43" t="s">
        <v>1119</v>
      </c>
      <c r="B381" s="46" t="s">
        <v>92</v>
      </c>
      <c r="C381" s="44" t="s">
        <v>1124</v>
      </c>
      <c r="D381" s="47">
        <v>14743</v>
      </c>
      <c r="E381" s="46" t="s">
        <v>1129</v>
      </c>
      <c r="F381" s="35">
        <v>8000</v>
      </c>
      <c r="G381" s="35">
        <v>8000</v>
      </c>
      <c r="H381" s="35">
        <v>0</v>
      </c>
      <c r="I381" s="35">
        <f t="shared" si="51"/>
        <v>8000</v>
      </c>
      <c r="J381" s="36">
        <f t="shared" si="52"/>
        <v>0</v>
      </c>
      <c r="K381" s="48" t="s">
        <v>14</v>
      </c>
      <c r="L381" s="48" t="s">
        <v>14</v>
      </c>
      <c r="M381" s="38">
        <v>43280</v>
      </c>
      <c r="N381" s="48"/>
      <c r="O381" s="35">
        <v>8000</v>
      </c>
      <c r="P381" s="35"/>
      <c r="Q381" s="35"/>
      <c r="R381" s="35"/>
      <c r="S381" s="58"/>
      <c r="T381" s="58"/>
    </row>
    <row r="382" spans="1:20" s="15" customFormat="1" ht="26.25" customHeight="1" x14ac:dyDescent="0.2">
      <c r="A382" s="43" t="s">
        <v>1130</v>
      </c>
      <c r="B382" s="46" t="s">
        <v>69</v>
      </c>
      <c r="C382" s="44" t="s">
        <v>265</v>
      </c>
      <c r="D382" s="47">
        <v>14760</v>
      </c>
      <c r="E382" s="46" t="s">
        <v>1133</v>
      </c>
      <c r="F382" s="35">
        <v>55000</v>
      </c>
      <c r="G382" s="35">
        <v>55000</v>
      </c>
      <c r="H382" s="35">
        <v>0</v>
      </c>
      <c r="I382" s="35">
        <f t="shared" si="51"/>
        <v>55000</v>
      </c>
      <c r="J382" s="36">
        <f t="shared" si="52"/>
        <v>0</v>
      </c>
      <c r="K382" s="48" t="s">
        <v>14</v>
      </c>
      <c r="L382" s="48" t="s">
        <v>14</v>
      </c>
      <c r="M382" s="38">
        <v>43251</v>
      </c>
      <c r="N382" s="48"/>
      <c r="O382" s="35">
        <v>55000</v>
      </c>
      <c r="P382" s="35"/>
      <c r="Q382" s="35"/>
      <c r="R382" s="35"/>
      <c r="S382" s="58"/>
      <c r="T382" s="58"/>
    </row>
    <row r="383" spans="1:20" s="15" customFormat="1" ht="26.25" customHeight="1" x14ac:dyDescent="0.2">
      <c r="A383" s="43" t="s">
        <v>1131</v>
      </c>
      <c r="B383" s="46" t="s">
        <v>21</v>
      </c>
      <c r="C383" s="44" t="s">
        <v>1132</v>
      </c>
      <c r="D383" s="47">
        <v>14699</v>
      </c>
      <c r="E383" s="46" t="s">
        <v>1134</v>
      </c>
      <c r="F383" s="35">
        <v>95000</v>
      </c>
      <c r="G383" s="35">
        <v>95000</v>
      </c>
      <c r="H383" s="35">
        <v>0</v>
      </c>
      <c r="I383" s="35">
        <f t="shared" si="51"/>
        <v>95000</v>
      </c>
      <c r="J383" s="36">
        <f t="shared" si="52"/>
        <v>0</v>
      </c>
      <c r="K383" s="48" t="s">
        <v>14</v>
      </c>
      <c r="L383" s="48" t="s">
        <v>14</v>
      </c>
      <c r="M383" s="38">
        <v>43265</v>
      </c>
      <c r="N383" s="48"/>
      <c r="O383" s="35">
        <v>95000</v>
      </c>
      <c r="P383" s="35"/>
      <c r="Q383" s="35"/>
      <c r="R383" s="35"/>
      <c r="S383" s="58"/>
      <c r="T383" s="58"/>
    </row>
    <row r="384" spans="1:20" s="15" customFormat="1" ht="26.25" customHeight="1" x14ac:dyDescent="0.2">
      <c r="A384" s="43" t="s">
        <v>1135</v>
      </c>
      <c r="B384" s="46" t="s">
        <v>36</v>
      </c>
      <c r="C384" s="44" t="s">
        <v>1141</v>
      </c>
      <c r="D384" s="47">
        <v>14817</v>
      </c>
      <c r="E384" s="46" t="s">
        <v>1145</v>
      </c>
      <c r="F384" s="35">
        <f>30656*3</f>
        <v>91968</v>
      </c>
      <c r="G384" s="35">
        <f>30656*3</f>
        <v>91968</v>
      </c>
      <c r="H384" s="35">
        <v>0</v>
      </c>
      <c r="I384" s="35">
        <f t="shared" ref="I384:I389" si="53">G384+H384</f>
        <v>91968</v>
      </c>
      <c r="J384" s="36">
        <f t="shared" ref="J384:J389" si="54">IF(G384=0,100%,(I384-G384)/G384)</f>
        <v>0</v>
      </c>
      <c r="K384" s="48" t="s">
        <v>14</v>
      </c>
      <c r="L384" s="48" t="s">
        <v>14</v>
      </c>
      <c r="M384" s="38">
        <v>43281</v>
      </c>
      <c r="N384" s="48" t="s">
        <v>18</v>
      </c>
      <c r="O384" s="35"/>
      <c r="P384" s="35">
        <v>30656</v>
      </c>
      <c r="Q384" s="35">
        <v>30656</v>
      </c>
      <c r="R384" s="35">
        <v>30656</v>
      </c>
      <c r="S384" s="58"/>
      <c r="T384" s="58"/>
    </row>
    <row r="385" spans="1:20" s="15" customFormat="1" ht="26.25" customHeight="1" x14ac:dyDescent="0.2">
      <c r="A385" s="43" t="s">
        <v>1136</v>
      </c>
      <c r="B385" s="46" t="s">
        <v>1140</v>
      </c>
      <c r="C385" s="44" t="s">
        <v>1142</v>
      </c>
      <c r="D385" s="47">
        <v>14786</v>
      </c>
      <c r="E385" s="46" t="s">
        <v>1146</v>
      </c>
      <c r="F385" s="35">
        <f>6000*3</f>
        <v>18000</v>
      </c>
      <c r="G385" s="35">
        <f>6000*3</f>
        <v>18000</v>
      </c>
      <c r="H385" s="35">
        <v>0</v>
      </c>
      <c r="I385" s="35">
        <f t="shared" si="53"/>
        <v>18000</v>
      </c>
      <c r="J385" s="36">
        <f t="shared" si="54"/>
        <v>0</v>
      </c>
      <c r="K385" s="48" t="s">
        <v>14</v>
      </c>
      <c r="L385" s="48" t="s">
        <v>14</v>
      </c>
      <c r="M385" s="38">
        <v>43281</v>
      </c>
      <c r="N385" s="48" t="s">
        <v>18</v>
      </c>
      <c r="O385" s="35"/>
      <c r="P385" s="35">
        <v>6000</v>
      </c>
      <c r="Q385" s="35">
        <v>6000</v>
      </c>
      <c r="R385" s="35">
        <v>6000</v>
      </c>
      <c r="S385" s="58"/>
      <c r="T385" s="58"/>
    </row>
    <row r="386" spans="1:20" s="15" customFormat="1" ht="26.25" customHeight="1" x14ac:dyDescent="0.2">
      <c r="A386" s="43" t="s">
        <v>1137</v>
      </c>
      <c r="B386" s="46" t="s">
        <v>30</v>
      </c>
      <c r="C386" s="44" t="s">
        <v>1143</v>
      </c>
      <c r="D386" s="47">
        <v>14730</v>
      </c>
      <c r="E386" s="46" t="s">
        <v>1147</v>
      </c>
      <c r="F386" s="35">
        <v>22189</v>
      </c>
      <c r="G386" s="35">
        <v>22189</v>
      </c>
      <c r="H386" s="35">
        <v>0</v>
      </c>
      <c r="I386" s="35">
        <f t="shared" si="53"/>
        <v>22189</v>
      </c>
      <c r="J386" s="36">
        <f t="shared" si="54"/>
        <v>0</v>
      </c>
      <c r="K386" s="48" t="s">
        <v>14</v>
      </c>
      <c r="L386" s="48" t="s">
        <v>14</v>
      </c>
      <c r="M386" s="38">
        <v>43259</v>
      </c>
      <c r="N386" s="48"/>
      <c r="O386" s="35">
        <v>22189</v>
      </c>
      <c r="P386" s="35"/>
      <c r="Q386" s="35"/>
      <c r="R386" s="35"/>
      <c r="S386" s="58"/>
      <c r="T386" s="58"/>
    </row>
    <row r="387" spans="1:20" s="15" customFormat="1" ht="26.25" customHeight="1" x14ac:dyDescent="0.2">
      <c r="A387" s="43" t="s">
        <v>1138</v>
      </c>
      <c r="B387" s="46" t="s">
        <v>30</v>
      </c>
      <c r="C387" s="44" t="s">
        <v>1144</v>
      </c>
      <c r="D387" s="47">
        <v>14681</v>
      </c>
      <c r="E387" s="46" t="s">
        <v>1148</v>
      </c>
      <c r="F387" s="35">
        <v>10000</v>
      </c>
      <c r="G387" s="35">
        <v>30000</v>
      </c>
      <c r="H387" s="35">
        <v>10000</v>
      </c>
      <c r="I387" s="35">
        <f t="shared" si="53"/>
        <v>40000</v>
      </c>
      <c r="J387" s="36">
        <f t="shared" si="54"/>
        <v>0.33333333333333331</v>
      </c>
      <c r="K387" s="48" t="s">
        <v>14</v>
      </c>
      <c r="L387" s="48" t="s">
        <v>14</v>
      </c>
      <c r="M387" s="38">
        <v>42916</v>
      </c>
      <c r="N387" s="48" t="s">
        <v>28</v>
      </c>
      <c r="O387" s="35">
        <v>10000</v>
      </c>
      <c r="P387" s="35"/>
      <c r="Q387" s="35"/>
      <c r="R387" s="35"/>
      <c r="S387" s="58"/>
      <c r="T387" s="58"/>
    </row>
    <row r="388" spans="1:20" s="15" customFormat="1" ht="26.25" customHeight="1" x14ac:dyDescent="0.2">
      <c r="A388" s="43" t="s">
        <v>1139</v>
      </c>
      <c r="B388" s="46" t="s">
        <v>92</v>
      </c>
      <c r="C388" s="44" t="s">
        <v>82</v>
      </c>
      <c r="D388" s="47">
        <v>14801</v>
      </c>
      <c r="E388" s="46" t="s">
        <v>1149</v>
      </c>
      <c r="F388" s="35">
        <f>5159*3</f>
        <v>15477</v>
      </c>
      <c r="G388" s="35">
        <f>5159*3</f>
        <v>15477</v>
      </c>
      <c r="H388" s="35">
        <v>0</v>
      </c>
      <c r="I388" s="35">
        <f t="shared" si="53"/>
        <v>15477</v>
      </c>
      <c r="J388" s="36">
        <f t="shared" si="54"/>
        <v>0</v>
      </c>
      <c r="K388" s="48" t="s">
        <v>14</v>
      </c>
      <c r="L388" s="48" t="s">
        <v>14</v>
      </c>
      <c r="M388" s="38">
        <v>43281</v>
      </c>
      <c r="N388" s="48" t="s">
        <v>18</v>
      </c>
      <c r="O388" s="35"/>
      <c r="P388" s="35">
        <v>5159</v>
      </c>
      <c r="Q388" s="35">
        <v>5159</v>
      </c>
      <c r="R388" s="35">
        <v>5159</v>
      </c>
      <c r="S388" s="58"/>
      <c r="T388" s="58"/>
    </row>
    <row r="389" spans="1:20" s="15" customFormat="1" ht="26.25" customHeight="1" x14ac:dyDescent="0.2">
      <c r="A389" s="43" t="s">
        <v>1150</v>
      </c>
      <c r="B389" s="46" t="s">
        <v>21</v>
      </c>
      <c r="C389" s="44" t="s">
        <v>641</v>
      </c>
      <c r="D389" s="47">
        <v>14478</v>
      </c>
      <c r="E389" s="46" t="s">
        <v>1168</v>
      </c>
      <c r="F389" s="35">
        <f>39800+39800</f>
        <v>79600</v>
      </c>
      <c r="G389" s="35">
        <f>39800+39800</f>
        <v>79600</v>
      </c>
      <c r="H389" s="35">
        <v>0</v>
      </c>
      <c r="I389" s="35">
        <f t="shared" si="53"/>
        <v>79600</v>
      </c>
      <c r="J389" s="36">
        <f t="shared" si="54"/>
        <v>0</v>
      </c>
      <c r="K389" s="48" t="s">
        <v>15</v>
      </c>
      <c r="L389" s="48" t="s">
        <v>15</v>
      </c>
      <c r="M389" s="38">
        <v>43010</v>
      </c>
      <c r="N389" s="48" t="s">
        <v>18</v>
      </c>
      <c r="O389" s="35"/>
      <c r="P389" s="35">
        <v>39800</v>
      </c>
      <c r="Q389" s="35">
        <v>39800</v>
      </c>
      <c r="R389" s="35"/>
      <c r="S389" s="58"/>
      <c r="T389" s="58"/>
    </row>
    <row r="390" spans="1:20" s="15" customFormat="1" ht="18" customHeight="1" x14ac:dyDescent="0.2">
      <c r="A390" s="43" t="s">
        <v>1151</v>
      </c>
      <c r="B390" s="46" t="s">
        <v>20</v>
      </c>
      <c r="C390" s="44" t="s">
        <v>74</v>
      </c>
      <c r="D390" s="47">
        <v>14589</v>
      </c>
      <c r="E390" s="46" t="s">
        <v>1169</v>
      </c>
      <c r="F390" s="35">
        <f>15000*3</f>
        <v>45000</v>
      </c>
      <c r="G390" s="35">
        <f>15000*3</f>
        <v>45000</v>
      </c>
      <c r="H390" s="35">
        <v>0</v>
      </c>
      <c r="I390" s="35">
        <f t="shared" ref="I390:I400" si="55">G390+H390</f>
        <v>45000</v>
      </c>
      <c r="J390" s="36">
        <f t="shared" ref="J390:J400" si="56">IF(G390=0,100%,(I390-G390)/G390)</f>
        <v>0</v>
      </c>
      <c r="K390" s="48" t="s">
        <v>14</v>
      </c>
      <c r="L390" s="48" t="s">
        <v>14</v>
      </c>
      <c r="M390" s="38">
        <v>43281</v>
      </c>
      <c r="N390" s="48" t="s">
        <v>18</v>
      </c>
      <c r="O390" s="35"/>
      <c r="P390" s="35">
        <v>15000</v>
      </c>
      <c r="Q390" s="35">
        <v>15000</v>
      </c>
      <c r="R390" s="35">
        <v>15000</v>
      </c>
      <c r="S390" s="58"/>
      <c r="T390" s="58"/>
    </row>
    <row r="391" spans="1:20" s="15" customFormat="1" ht="26.25" customHeight="1" x14ac:dyDescent="0.2">
      <c r="A391" s="43" t="s">
        <v>1152</v>
      </c>
      <c r="B391" s="46" t="s">
        <v>35</v>
      </c>
      <c r="C391" s="44" t="s">
        <v>1161</v>
      </c>
      <c r="D391" s="47">
        <v>14703</v>
      </c>
      <c r="E391" s="46" t="s">
        <v>1170</v>
      </c>
      <c r="F391" s="35">
        <v>11467</v>
      </c>
      <c r="G391" s="35">
        <v>11467</v>
      </c>
      <c r="H391" s="35">
        <v>0</v>
      </c>
      <c r="I391" s="35">
        <f t="shared" si="55"/>
        <v>11467</v>
      </c>
      <c r="J391" s="36">
        <f t="shared" si="56"/>
        <v>0</v>
      </c>
      <c r="K391" s="48" t="s">
        <v>14</v>
      </c>
      <c r="L391" s="48" t="s">
        <v>15</v>
      </c>
      <c r="M391" s="38">
        <v>43297</v>
      </c>
      <c r="N391" s="48"/>
      <c r="O391" s="35"/>
      <c r="P391" s="35">
        <v>11467</v>
      </c>
      <c r="Q391" s="35"/>
      <c r="R391" s="35"/>
      <c r="S391" s="58"/>
      <c r="T391" s="58"/>
    </row>
    <row r="392" spans="1:20" s="15" customFormat="1" ht="26.25" customHeight="1" x14ac:dyDescent="0.2">
      <c r="A392" s="43" t="s">
        <v>1153</v>
      </c>
      <c r="B392" s="46" t="s">
        <v>21</v>
      </c>
      <c r="C392" s="44" t="s">
        <v>32</v>
      </c>
      <c r="D392" s="47">
        <v>14710</v>
      </c>
      <c r="E392" s="46" t="s">
        <v>1171</v>
      </c>
      <c r="F392" s="35">
        <f>25829*3</f>
        <v>77487</v>
      </c>
      <c r="G392" s="35">
        <f>25829*3</f>
        <v>77487</v>
      </c>
      <c r="H392" s="35">
        <v>0</v>
      </c>
      <c r="I392" s="35">
        <f t="shared" si="55"/>
        <v>77487</v>
      </c>
      <c r="J392" s="36">
        <f t="shared" si="56"/>
        <v>0</v>
      </c>
      <c r="K392" s="48" t="s">
        <v>14</v>
      </c>
      <c r="L392" s="48" t="s">
        <v>15</v>
      </c>
      <c r="M392" s="38">
        <v>43244</v>
      </c>
      <c r="N392" s="48" t="s">
        <v>18</v>
      </c>
      <c r="O392" s="35">
        <v>25829</v>
      </c>
      <c r="P392" s="35">
        <v>25829</v>
      </c>
      <c r="Q392" s="35">
        <v>25829</v>
      </c>
      <c r="R392" s="35"/>
      <c r="S392" s="58"/>
      <c r="T392" s="58"/>
    </row>
    <row r="393" spans="1:20" s="15" customFormat="1" ht="26.25" customHeight="1" x14ac:dyDescent="0.2">
      <c r="A393" s="43" t="s">
        <v>1154</v>
      </c>
      <c r="B393" s="46" t="s">
        <v>92</v>
      </c>
      <c r="C393" s="44" t="s">
        <v>126</v>
      </c>
      <c r="D393" s="47">
        <v>14852</v>
      </c>
      <c r="E393" s="46" t="s">
        <v>1172</v>
      </c>
      <c r="F393" s="35">
        <f>5024*3</f>
        <v>15072</v>
      </c>
      <c r="G393" s="35">
        <f>5024*3</f>
        <v>15072</v>
      </c>
      <c r="H393" s="35">
        <v>0</v>
      </c>
      <c r="I393" s="35">
        <f t="shared" si="55"/>
        <v>15072</v>
      </c>
      <c r="J393" s="36">
        <f t="shared" si="56"/>
        <v>0</v>
      </c>
      <c r="K393" s="48" t="s">
        <v>14</v>
      </c>
      <c r="L393" s="48" t="s">
        <v>15</v>
      </c>
      <c r="M393" s="38">
        <v>43281</v>
      </c>
      <c r="N393" s="48" t="s">
        <v>18</v>
      </c>
      <c r="O393" s="35">
        <v>5024</v>
      </c>
      <c r="P393" s="35">
        <v>5024</v>
      </c>
      <c r="Q393" s="35">
        <v>5024</v>
      </c>
      <c r="R393" s="35"/>
      <c r="S393" s="58"/>
      <c r="T393" s="58"/>
    </row>
    <row r="394" spans="1:20" s="15" customFormat="1" ht="26.25" customHeight="1" x14ac:dyDescent="0.2">
      <c r="A394" s="43" t="s">
        <v>1155</v>
      </c>
      <c r="B394" s="46" t="s">
        <v>92</v>
      </c>
      <c r="C394" s="44" t="s">
        <v>1162</v>
      </c>
      <c r="D394" s="47">
        <v>14853</v>
      </c>
      <c r="E394" s="46" t="s">
        <v>1173</v>
      </c>
      <c r="F394" s="35">
        <f>11374*3</f>
        <v>34122</v>
      </c>
      <c r="G394" s="35">
        <f>11374*3</f>
        <v>34122</v>
      </c>
      <c r="H394" s="35">
        <v>0</v>
      </c>
      <c r="I394" s="35">
        <f t="shared" si="55"/>
        <v>34122</v>
      </c>
      <c r="J394" s="36">
        <f t="shared" si="56"/>
        <v>0</v>
      </c>
      <c r="K394" s="48" t="s">
        <v>14</v>
      </c>
      <c r="L394" s="48" t="s">
        <v>15</v>
      </c>
      <c r="M394" s="38">
        <v>43281</v>
      </c>
      <c r="N394" s="48" t="s">
        <v>18</v>
      </c>
      <c r="O394" s="35">
        <v>11374</v>
      </c>
      <c r="P394" s="35">
        <v>11374</v>
      </c>
      <c r="Q394" s="35">
        <v>11374</v>
      </c>
      <c r="R394" s="35"/>
      <c r="S394" s="58"/>
      <c r="T394" s="58"/>
    </row>
    <row r="395" spans="1:20" s="15" customFormat="1" ht="26.25" customHeight="1" x14ac:dyDescent="0.2">
      <c r="A395" s="43" t="s">
        <v>1156</v>
      </c>
      <c r="B395" s="46" t="s">
        <v>20</v>
      </c>
      <c r="C395" s="44" t="s">
        <v>1163</v>
      </c>
      <c r="D395" s="47">
        <v>14885</v>
      </c>
      <c r="E395" s="46" t="s">
        <v>1174</v>
      </c>
      <c r="F395" s="35">
        <f>7290*3</f>
        <v>21870</v>
      </c>
      <c r="G395" s="35">
        <f>7290*3</f>
        <v>21870</v>
      </c>
      <c r="H395" s="35">
        <v>0</v>
      </c>
      <c r="I395" s="35">
        <f t="shared" si="55"/>
        <v>21870</v>
      </c>
      <c r="J395" s="36">
        <f t="shared" si="56"/>
        <v>0</v>
      </c>
      <c r="K395" s="48" t="s">
        <v>14</v>
      </c>
      <c r="L395" s="48" t="s">
        <v>14</v>
      </c>
      <c r="M395" s="38">
        <v>43281</v>
      </c>
      <c r="N395" s="48" t="s">
        <v>18</v>
      </c>
      <c r="O395" s="35"/>
      <c r="P395" s="35">
        <v>7290</v>
      </c>
      <c r="Q395" s="35">
        <v>7290</v>
      </c>
      <c r="R395" s="35">
        <v>7290</v>
      </c>
      <c r="S395" s="58"/>
      <c r="T395" s="58"/>
    </row>
    <row r="396" spans="1:20" s="15" customFormat="1" ht="26.25" customHeight="1" x14ac:dyDescent="0.2">
      <c r="A396" s="43" t="s">
        <v>1157</v>
      </c>
      <c r="B396" s="46" t="s">
        <v>23</v>
      </c>
      <c r="C396" s="44" t="s">
        <v>1164</v>
      </c>
      <c r="D396" s="47">
        <v>14890</v>
      </c>
      <c r="E396" s="46" t="s">
        <v>1175</v>
      </c>
      <c r="F396" s="35">
        <f>38886*3</f>
        <v>116658</v>
      </c>
      <c r="G396" s="35">
        <f>38886*3</f>
        <v>116658</v>
      </c>
      <c r="H396" s="35">
        <v>0</v>
      </c>
      <c r="I396" s="35">
        <f t="shared" si="55"/>
        <v>116658</v>
      </c>
      <c r="J396" s="36">
        <f t="shared" si="56"/>
        <v>0</v>
      </c>
      <c r="K396" s="48" t="s">
        <v>14</v>
      </c>
      <c r="L396" s="48" t="s">
        <v>15</v>
      </c>
      <c r="M396" s="38">
        <v>44012</v>
      </c>
      <c r="N396" s="48" t="s">
        <v>18</v>
      </c>
      <c r="O396" s="35"/>
      <c r="P396" s="35">
        <v>38886</v>
      </c>
      <c r="Q396" s="35">
        <v>38886</v>
      </c>
      <c r="R396" s="35">
        <v>38886</v>
      </c>
      <c r="S396" s="58"/>
      <c r="T396" s="58"/>
    </row>
    <row r="397" spans="1:20" s="15" customFormat="1" ht="26.25" customHeight="1" x14ac:dyDescent="0.2">
      <c r="A397" s="43" t="s">
        <v>1158</v>
      </c>
      <c r="B397" s="46" t="s">
        <v>20</v>
      </c>
      <c r="C397" s="44" t="s">
        <v>74</v>
      </c>
      <c r="D397" s="54" t="s">
        <v>1167</v>
      </c>
      <c r="E397" s="46" t="s">
        <v>1169</v>
      </c>
      <c r="F397" s="35">
        <v>5000</v>
      </c>
      <c r="G397" s="35">
        <v>15000</v>
      </c>
      <c r="H397" s="35">
        <v>5000</v>
      </c>
      <c r="I397" s="35">
        <f t="shared" si="55"/>
        <v>20000</v>
      </c>
      <c r="J397" s="36">
        <f t="shared" si="56"/>
        <v>0.33333333333333331</v>
      </c>
      <c r="K397" s="48" t="s">
        <v>14</v>
      </c>
      <c r="L397" s="48" t="s">
        <v>14</v>
      </c>
      <c r="M397" s="38">
        <v>42916</v>
      </c>
      <c r="N397" s="48" t="s">
        <v>28</v>
      </c>
      <c r="O397" s="35">
        <v>5000</v>
      </c>
      <c r="P397" s="35"/>
      <c r="Q397" s="35"/>
      <c r="R397" s="35"/>
      <c r="S397" s="58"/>
      <c r="T397" s="58"/>
    </row>
    <row r="398" spans="1:20" s="15" customFormat="1" ht="26.25" customHeight="1" x14ac:dyDescent="0.2">
      <c r="A398" s="43" t="s">
        <v>1159</v>
      </c>
      <c r="B398" s="46" t="s">
        <v>21</v>
      </c>
      <c r="C398" s="44" t="s">
        <v>1165</v>
      </c>
      <c r="D398" s="47">
        <v>14820</v>
      </c>
      <c r="E398" s="46" t="s">
        <v>1177</v>
      </c>
      <c r="F398" s="35">
        <v>48833</v>
      </c>
      <c r="G398" s="35">
        <v>48833</v>
      </c>
      <c r="H398" s="35">
        <v>0</v>
      </c>
      <c r="I398" s="35">
        <f t="shared" si="55"/>
        <v>48833</v>
      </c>
      <c r="J398" s="36">
        <f t="shared" si="56"/>
        <v>0</v>
      </c>
      <c r="K398" s="48" t="s">
        <v>14</v>
      </c>
      <c r="L398" s="48" t="s">
        <v>14</v>
      </c>
      <c r="M398" s="38">
        <v>42946</v>
      </c>
      <c r="N398" s="48"/>
      <c r="O398" s="35">
        <v>48833</v>
      </c>
      <c r="P398" s="35"/>
      <c r="Q398" s="35"/>
      <c r="R398" s="35"/>
      <c r="S398" s="58"/>
      <c r="T398" s="58"/>
    </row>
    <row r="399" spans="1:20" s="15" customFormat="1" ht="18" customHeight="1" x14ac:dyDescent="0.2">
      <c r="A399" s="43" t="s">
        <v>1160</v>
      </c>
      <c r="B399" s="46" t="s">
        <v>36</v>
      </c>
      <c r="C399" s="44" t="s">
        <v>1166</v>
      </c>
      <c r="D399" s="47">
        <v>14922</v>
      </c>
      <c r="E399" s="46" t="s">
        <v>1176</v>
      </c>
      <c r="F399" s="35">
        <v>16627</v>
      </c>
      <c r="G399" s="35">
        <v>16627</v>
      </c>
      <c r="H399" s="35">
        <v>0</v>
      </c>
      <c r="I399" s="35">
        <f t="shared" si="55"/>
        <v>16627</v>
      </c>
      <c r="J399" s="36">
        <f t="shared" si="56"/>
        <v>0</v>
      </c>
      <c r="K399" s="48" t="s">
        <v>14</v>
      </c>
      <c r="L399" s="48" t="s">
        <v>14</v>
      </c>
      <c r="M399" s="38">
        <v>42916</v>
      </c>
      <c r="N399" s="48"/>
      <c r="O399" s="35">
        <v>16627</v>
      </c>
      <c r="P399" s="35"/>
      <c r="Q399" s="35"/>
      <c r="R399" s="35"/>
      <c r="S399" s="58"/>
      <c r="T399" s="58"/>
    </row>
    <row r="400" spans="1:20" s="15" customFormat="1" ht="26.25" customHeight="1" x14ac:dyDescent="0.2">
      <c r="A400" s="43" t="s">
        <v>1178</v>
      </c>
      <c r="B400" s="43" t="s">
        <v>21</v>
      </c>
      <c r="C400" s="43" t="s">
        <v>1180</v>
      </c>
      <c r="D400" s="47">
        <v>14664</v>
      </c>
      <c r="E400" s="46" t="s">
        <v>1183</v>
      </c>
      <c r="F400" s="35">
        <v>70862</v>
      </c>
      <c r="G400" s="35">
        <v>70862</v>
      </c>
      <c r="H400" s="35">
        <v>0</v>
      </c>
      <c r="I400" s="35">
        <f t="shared" si="55"/>
        <v>70862</v>
      </c>
      <c r="J400" s="36">
        <f t="shared" si="56"/>
        <v>0</v>
      </c>
      <c r="K400" s="48" t="s">
        <v>14</v>
      </c>
      <c r="L400" s="48" t="s">
        <v>15</v>
      </c>
      <c r="M400" s="38">
        <v>43281</v>
      </c>
      <c r="N400" s="48"/>
      <c r="O400" s="35"/>
      <c r="P400" s="35">
        <v>70862</v>
      </c>
      <c r="Q400" s="35"/>
      <c r="R400" s="35"/>
      <c r="S400" s="58"/>
      <c r="T400" s="58"/>
    </row>
    <row r="401" spans="1:20" s="15" customFormat="1" ht="26.25" customHeight="1" x14ac:dyDescent="0.2">
      <c r="A401" s="43" t="s">
        <v>1179</v>
      </c>
      <c r="B401" s="43" t="s">
        <v>166</v>
      </c>
      <c r="C401" s="43" t="s">
        <v>1181</v>
      </c>
      <c r="D401" s="47">
        <v>14825</v>
      </c>
      <c r="E401" s="46" t="s">
        <v>1182</v>
      </c>
      <c r="F401" s="35">
        <f>97500*2</f>
        <v>195000</v>
      </c>
      <c r="G401" s="35">
        <f>97500*2</f>
        <v>195000</v>
      </c>
      <c r="H401" s="35">
        <v>0</v>
      </c>
      <c r="I401" s="35">
        <f>G401+H401</f>
        <v>195000</v>
      </c>
      <c r="J401" s="36">
        <f>IF(G401=0,100%,(I401-G401)/G401)</f>
        <v>0</v>
      </c>
      <c r="K401" s="48" t="s">
        <v>14</v>
      </c>
      <c r="L401" s="48" t="s">
        <v>14</v>
      </c>
      <c r="M401" s="38">
        <v>43159</v>
      </c>
      <c r="N401" s="48" t="s">
        <v>18</v>
      </c>
      <c r="O401" s="35"/>
      <c r="P401" s="35">
        <v>97500</v>
      </c>
      <c r="Q401" s="35">
        <v>97500</v>
      </c>
      <c r="R401" s="35"/>
      <c r="S401" s="58"/>
      <c r="T401" s="58"/>
    </row>
    <row r="402" spans="1:20" s="15" customFormat="1" ht="26.25" customHeight="1" x14ac:dyDescent="0.2">
      <c r="A402" s="43"/>
      <c r="B402" s="46"/>
      <c r="C402" s="44"/>
      <c r="D402" s="34"/>
      <c r="E402" s="46"/>
      <c r="F402" s="35"/>
      <c r="G402" s="40"/>
      <c r="H402" s="35"/>
      <c r="I402" s="35"/>
      <c r="J402" s="36"/>
      <c r="K402" s="48"/>
      <c r="L402" s="37"/>
      <c r="M402" s="38"/>
      <c r="N402" s="37"/>
      <c r="O402" s="35"/>
      <c r="P402" s="35"/>
      <c r="Q402" s="35"/>
      <c r="R402" s="35"/>
      <c r="S402" s="58"/>
      <c r="T402" s="58"/>
    </row>
    <row r="403" spans="1:20" s="20" customFormat="1" ht="26.25" customHeight="1" x14ac:dyDescent="0.2">
      <c r="A403" s="14"/>
      <c r="B403" s="27"/>
      <c r="C403" s="33"/>
      <c r="D403" s="33"/>
      <c r="E403" s="11" t="s">
        <v>4</v>
      </c>
      <c r="F403" s="26">
        <f>SUM(F2:F402)</f>
        <v>28613348</v>
      </c>
      <c r="G403" s="26">
        <f>SUM(G2:G402)</f>
        <v>31178009</v>
      </c>
      <c r="H403" s="26">
        <f>SUM(H2:H402)</f>
        <v>3574141</v>
      </c>
      <c r="I403" s="26">
        <f>SUM(I2:I402)</f>
        <v>34752150</v>
      </c>
      <c r="J403" s="16"/>
      <c r="K403" s="17"/>
      <c r="L403" s="17"/>
      <c r="M403" s="18"/>
      <c r="N403" s="17"/>
      <c r="O403" s="26">
        <f t="shared" ref="O403:T403" si="57">SUM(O2:O402)</f>
        <v>15226058</v>
      </c>
      <c r="P403" s="26">
        <f t="shared" si="57"/>
        <v>7103287</v>
      </c>
      <c r="Q403" s="26">
        <f t="shared" si="57"/>
        <v>6091012</v>
      </c>
      <c r="R403" s="26">
        <f t="shared" si="57"/>
        <v>162991</v>
      </c>
      <c r="S403" s="26">
        <f t="shared" si="57"/>
        <v>15000</v>
      </c>
      <c r="T403" s="26">
        <f t="shared" si="57"/>
        <v>15000</v>
      </c>
    </row>
    <row r="404" spans="1:20" s="20" customFormat="1" ht="26.25" customHeight="1" x14ac:dyDescent="0.2">
      <c r="A404" s="21"/>
      <c r="B404" s="22"/>
      <c r="C404" s="23"/>
      <c r="D404" s="23"/>
      <c r="E404" s="22"/>
      <c r="F404" s="19"/>
      <c r="G404" s="19"/>
      <c r="H404" s="19"/>
      <c r="J404" s="24"/>
      <c r="K404" s="25"/>
      <c r="L404" s="25"/>
      <c r="N404" s="25"/>
    </row>
    <row r="405" spans="1:20" ht="26.25" customHeight="1" x14ac:dyDescent="0.2">
      <c r="A405" s="30"/>
      <c r="B405" s="31"/>
      <c r="C405" s="4"/>
      <c r="F405" s="19"/>
      <c r="G405" s="19"/>
      <c r="H405" s="19"/>
      <c r="I405" s="20"/>
      <c r="O405" s="28"/>
      <c r="P405" s="28"/>
    </row>
    <row r="406" spans="1:20" x14ac:dyDescent="0.2">
      <c r="C406" s="4"/>
    </row>
    <row r="407" spans="1:20" x14ac:dyDescent="0.2">
      <c r="C407" s="4"/>
      <c r="O407" s="28"/>
      <c r="P407" s="28"/>
    </row>
    <row r="408" spans="1:20" x14ac:dyDescent="0.2">
      <c r="C408" s="4"/>
    </row>
    <row r="409" spans="1:20" x14ac:dyDescent="0.2">
      <c r="C409" s="4"/>
      <c r="G409" s="32"/>
      <c r="O409" s="29"/>
      <c r="P409" s="29"/>
    </row>
    <row r="410" spans="1:20" x14ac:dyDescent="0.2">
      <c r="C410" s="4"/>
      <c r="Q410" s="53"/>
      <c r="R410" s="53"/>
    </row>
    <row r="411" spans="1:20" x14ac:dyDescent="0.2">
      <c r="C411" s="4"/>
    </row>
    <row r="412" spans="1:20" x14ac:dyDescent="0.2">
      <c r="C412" s="4"/>
    </row>
    <row r="413" spans="1:20" x14ac:dyDescent="0.2">
      <c r="C413" s="4"/>
    </row>
    <row r="414" spans="1:20" x14ac:dyDescent="0.2">
      <c r="C414" s="4"/>
    </row>
    <row r="415" spans="1:20" x14ac:dyDescent="0.2">
      <c r="C415" s="4"/>
    </row>
    <row r="416" spans="1:20" x14ac:dyDescent="0.2">
      <c r="C416" s="4"/>
    </row>
    <row r="417" spans="3:3" x14ac:dyDescent="0.2">
      <c r="C417" s="4"/>
    </row>
    <row r="418" spans="3:3" x14ac:dyDescent="0.2">
      <c r="C418" s="4"/>
    </row>
    <row r="419" spans="3:3" x14ac:dyDescent="0.2">
      <c r="C419" s="4"/>
    </row>
    <row r="420" spans="3:3" x14ac:dyDescent="0.2">
      <c r="C420" s="4"/>
    </row>
    <row r="421" spans="3:3" x14ac:dyDescent="0.2">
      <c r="C421" s="4"/>
    </row>
    <row r="422" spans="3:3" x14ac:dyDescent="0.2">
      <c r="C422" s="4"/>
    </row>
    <row r="423" spans="3:3" x14ac:dyDescent="0.2">
      <c r="C423" s="4"/>
    </row>
    <row r="424" spans="3:3" x14ac:dyDescent="0.2">
      <c r="C424" s="4"/>
    </row>
    <row r="425" spans="3:3" x14ac:dyDescent="0.2">
      <c r="C425" s="4"/>
    </row>
    <row r="426" spans="3:3" x14ac:dyDescent="0.2">
      <c r="C426" s="4"/>
    </row>
    <row r="427" spans="3:3" x14ac:dyDescent="0.2">
      <c r="C427" s="4"/>
    </row>
    <row r="428" spans="3:3" x14ac:dyDescent="0.2">
      <c r="C428" s="4"/>
    </row>
    <row r="429" spans="3:3" x14ac:dyDescent="0.2">
      <c r="C429" s="4"/>
    </row>
    <row r="430" spans="3:3" x14ac:dyDescent="0.2">
      <c r="C430" s="4"/>
    </row>
    <row r="431" spans="3:3" x14ac:dyDescent="0.2">
      <c r="C431" s="4"/>
    </row>
    <row r="432" spans="3:3" x14ac:dyDescent="0.2">
      <c r="C432" s="4"/>
    </row>
    <row r="433" spans="3:3" x14ac:dyDescent="0.2">
      <c r="C433" s="4"/>
    </row>
    <row r="434" spans="3:3" x14ac:dyDescent="0.2">
      <c r="C434" s="4"/>
    </row>
    <row r="435" spans="3:3" x14ac:dyDescent="0.2">
      <c r="C435" s="4"/>
    </row>
    <row r="436" spans="3:3" x14ac:dyDescent="0.2">
      <c r="C436" s="4"/>
    </row>
    <row r="437" spans="3:3" x14ac:dyDescent="0.2">
      <c r="C437" s="4"/>
    </row>
    <row r="438" spans="3:3" x14ac:dyDescent="0.2">
      <c r="C438" s="4"/>
    </row>
    <row r="439" spans="3:3" x14ac:dyDescent="0.2">
      <c r="C439" s="4"/>
    </row>
    <row r="440" spans="3:3" x14ac:dyDescent="0.2">
      <c r="C440" s="4"/>
    </row>
    <row r="441" spans="3:3" x14ac:dyDescent="0.2">
      <c r="C441" s="4"/>
    </row>
    <row r="442" spans="3:3" x14ac:dyDescent="0.2">
      <c r="C442" s="4"/>
    </row>
    <row r="443" spans="3:3" x14ac:dyDescent="0.2">
      <c r="C443" s="4"/>
    </row>
    <row r="444" spans="3:3" x14ac:dyDescent="0.2">
      <c r="C444" s="4"/>
    </row>
    <row r="445" spans="3:3" x14ac:dyDescent="0.2">
      <c r="C445" s="4"/>
    </row>
    <row r="446" spans="3:3" x14ac:dyDescent="0.2">
      <c r="C446" s="4"/>
    </row>
    <row r="447" spans="3:3" x14ac:dyDescent="0.2">
      <c r="C447" s="4"/>
    </row>
    <row r="448" spans="3:3" x14ac:dyDescent="0.2">
      <c r="C448" s="4"/>
    </row>
    <row r="449" spans="3:3" x14ac:dyDescent="0.2">
      <c r="C449" s="4"/>
    </row>
    <row r="450" spans="3:3" x14ac:dyDescent="0.2">
      <c r="C450" s="4"/>
    </row>
    <row r="451" spans="3:3" x14ac:dyDescent="0.2">
      <c r="C451" s="4"/>
    </row>
    <row r="452" spans="3:3" x14ac:dyDescent="0.2">
      <c r="C452" s="4"/>
    </row>
    <row r="453" spans="3:3" x14ac:dyDescent="0.2">
      <c r="C453" s="4"/>
    </row>
    <row r="454" spans="3:3" x14ac:dyDescent="0.2">
      <c r="C454" s="4"/>
    </row>
    <row r="455" spans="3:3" x14ac:dyDescent="0.2">
      <c r="C455" s="4"/>
    </row>
    <row r="456" spans="3:3" x14ac:dyDescent="0.2">
      <c r="C456" s="4"/>
    </row>
    <row r="457" spans="3:3" x14ac:dyDescent="0.2">
      <c r="C457" s="4"/>
    </row>
    <row r="458" spans="3:3" x14ac:dyDescent="0.2">
      <c r="C458" s="4"/>
    </row>
    <row r="459" spans="3:3" x14ac:dyDescent="0.2">
      <c r="C459" s="4"/>
    </row>
  </sheetData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FY2017
SUMMARY REPORT
BY REPORT NUMBER
As of June 30, 2017&amp;RRun Date: &amp;D      &amp;T     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8.140625" style="12" customWidth="1"/>
    <col min="2" max="2" width="25" style="2" customWidth="1"/>
    <col min="3" max="3" width="23.140625" customWidth="1"/>
    <col min="4" max="4" width="12.140625" style="4" customWidth="1"/>
    <col min="5" max="5" width="58.42578125" style="2" customWidth="1"/>
    <col min="6" max="6" width="11.85546875" style="3" customWidth="1"/>
    <col min="7" max="7" width="11.42578125" style="3" customWidth="1"/>
    <col min="8" max="8" width="10.42578125" style="3" customWidth="1"/>
    <col min="9" max="9" width="11.42578125" customWidth="1"/>
    <col min="10" max="10" width="8.42578125" style="5" customWidth="1"/>
    <col min="11" max="12" width="5.85546875" style="1" customWidth="1"/>
    <col min="13" max="13" width="8.140625" customWidth="1"/>
    <col min="14" max="14" width="5" style="1" customWidth="1"/>
    <col min="15" max="15" width="11.5703125" customWidth="1"/>
    <col min="16" max="18" width="10.42578125" customWidth="1"/>
  </cols>
  <sheetData>
    <row r="1" spans="1:20" ht="24" x14ac:dyDescent="0.2">
      <c r="A1" s="13" t="s">
        <v>0</v>
      </c>
      <c r="B1" s="10" t="s">
        <v>6</v>
      </c>
      <c r="C1" s="10" t="s">
        <v>7</v>
      </c>
      <c r="D1" s="10" t="s">
        <v>12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13</v>
      </c>
      <c r="L1" s="10" t="s">
        <v>70</v>
      </c>
      <c r="M1" s="8" t="s">
        <v>3</v>
      </c>
      <c r="N1" s="8" t="s">
        <v>5</v>
      </c>
      <c r="O1" s="8" t="s">
        <v>16</v>
      </c>
      <c r="P1" s="8" t="s">
        <v>37</v>
      </c>
      <c r="Q1" s="8" t="s">
        <v>38</v>
      </c>
      <c r="R1" s="8" t="s">
        <v>970</v>
      </c>
      <c r="S1" s="8" t="s">
        <v>928</v>
      </c>
      <c r="T1" s="8" t="s">
        <v>929</v>
      </c>
    </row>
    <row r="2" spans="1:20" ht="18" customHeight="1" x14ac:dyDescent="0.2">
      <c r="A2" s="43" t="s">
        <v>829</v>
      </c>
      <c r="B2" s="46" t="s">
        <v>20</v>
      </c>
      <c r="C2" s="44" t="s">
        <v>832</v>
      </c>
      <c r="D2" s="47">
        <v>14076</v>
      </c>
      <c r="E2" s="46" t="s">
        <v>835</v>
      </c>
      <c r="F2" s="35">
        <f>3*55000</f>
        <v>165000</v>
      </c>
      <c r="G2" s="35">
        <f>3*55000</f>
        <v>165000</v>
      </c>
      <c r="H2" s="35">
        <v>0</v>
      </c>
      <c r="I2" s="35">
        <f t="shared" ref="I2:I65" si="0">G2+H2</f>
        <v>165000</v>
      </c>
      <c r="J2" s="36">
        <f t="shared" ref="J2:J65" si="1">IF(G2=0,100%,(I2-G2)/G2)</f>
        <v>0</v>
      </c>
      <c r="K2" s="48" t="s">
        <v>14</v>
      </c>
      <c r="L2" s="48" t="s">
        <v>14</v>
      </c>
      <c r="M2" s="38">
        <v>42916</v>
      </c>
      <c r="N2" s="48" t="s">
        <v>18</v>
      </c>
      <c r="O2" s="35">
        <v>55000</v>
      </c>
      <c r="P2" s="35">
        <v>55000</v>
      </c>
      <c r="Q2" s="35">
        <v>55000</v>
      </c>
      <c r="R2" s="35"/>
      <c r="S2" s="58"/>
      <c r="T2" s="58"/>
    </row>
    <row r="3" spans="1:20" s="15" customFormat="1" ht="26.25" customHeight="1" x14ac:dyDescent="0.2">
      <c r="A3" s="43" t="s">
        <v>307</v>
      </c>
      <c r="B3" s="46" t="s">
        <v>20</v>
      </c>
      <c r="C3" s="44" t="s">
        <v>45</v>
      </c>
      <c r="D3" s="54" t="s">
        <v>323</v>
      </c>
      <c r="E3" s="46" t="s">
        <v>64</v>
      </c>
      <c r="F3" s="35">
        <f>20000*2</f>
        <v>40000</v>
      </c>
      <c r="G3" s="35">
        <v>10000</v>
      </c>
      <c r="H3" s="35">
        <f>20000*2</f>
        <v>40000</v>
      </c>
      <c r="I3" s="35">
        <f t="shared" si="0"/>
        <v>50000</v>
      </c>
      <c r="J3" s="36">
        <f t="shared" si="1"/>
        <v>4</v>
      </c>
      <c r="K3" s="48" t="s">
        <v>14</v>
      </c>
      <c r="L3" s="48" t="s">
        <v>14</v>
      </c>
      <c r="M3" s="38">
        <v>42977</v>
      </c>
      <c r="N3" s="48" t="s">
        <v>28</v>
      </c>
      <c r="O3" s="35">
        <v>20000</v>
      </c>
      <c r="P3" s="35">
        <v>20000</v>
      </c>
      <c r="Q3" s="35"/>
      <c r="R3" s="35"/>
      <c r="S3" s="58"/>
      <c r="T3" s="58"/>
    </row>
    <row r="4" spans="1:20" s="15" customFormat="1" ht="26.25" customHeight="1" x14ac:dyDescent="0.2">
      <c r="A4" s="43" t="s">
        <v>1004</v>
      </c>
      <c r="B4" s="46" t="s">
        <v>20</v>
      </c>
      <c r="C4" s="44" t="s">
        <v>1007</v>
      </c>
      <c r="D4" s="47">
        <v>14509</v>
      </c>
      <c r="E4" s="46" t="s">
        <v>1010</v>
      </c>
      <c r="F4" s="35">
        <f>60000*3</f>
        <v>180000</v>
      </c>
      <c r="G4" s="35">
        <f>60000*3</f>
        <v>180000</v>
      </c>
      <c r="H4" s="35">
        <v>0</v>
      </c>
      <c r="I4" s="35">
        <f t="shared" si="0"/>
        <v>180000</v>
      </c>
      <c r="J4" s="36">
        <f t="shared" si="1"/>
        <v>0</v>
      </c>
      <c r="K4" s="48" t="s">
        <v>14</v>
      </c>
      <c r="L4" s="48" t="s">
        <v>14</v>
      </c>
      <c r="M4" s="38">
        <v>43221</v>
      </c>
      <c r="N4" s="48" t="s">
        <v>18</v>
      </c>
      <c r="O4" s="35">
        <v>60000</v>
      </c>
      <c r="P4" s="35">
        <v>60000</v>
      </c>
      <c r="Q4" s="35">
        <v>60000</v>
      </c>
      <c r="R4" s="35"/>
      <c r="S4" s="58"/>
      <c r="T4" s="58"/>
    </row>
    <row r="5" spans="1:20" s="15" customFormat="1" ht="26.25" customHeight="1" x14ac:dyDescent="0.2">
      <c r="A5" s="43" t="s">
        <v>687</v>
      </c>
      <c r="B5" s="46" t="s">
        <v>20</v>
      </c>
      <c r="C5" s="44" t="s">
        <v>692</v>
      </c>
      <c r="D5" s="47">
        <v>13814</v>
      </c>
      <c r="E5" s="46" t="s">
        <v>698</v>
      </c>
      <c r="F5" s="35">
        <f>10000*3</f>
        <v>30000</v>
      </c>
      <c r="G5" s="35">
        <f>10000*3</f>
        <v>30000</v>
      </c>
      <c r="H5" s="35">
        <v>0</v>
      </c>
      <c r="I5" s="35">
        <f t="shared" si="0"/>
        <v>30000</v>
      </c>
      <c r="J5" s="36">
        <f t="shared" si="1"/>
        <v>0</v>
      </c>
      <c r="K5" s="48" t="s">
        <v>14</v>
      </c>
      <c r="L5" s="48" t="s">
        <v>15</v>
      </c>
      <c r="M5" s="38">
        <v>42916</v>
      </c>
      <c r="N5" s="48" t="s">
        <v>18</v>
      </c>
      <c r="O5" s="35">
        <v>10000</v>
      </c>
      <c r="P5" s="35">
        <v>10000</v>
      </c>
      <c r="Q5" s="35">
        <v>10000</v>
      </c>
      <c r="R5" s="35"/>
      <c r="S5" s="58"/>
      <c r="T5" s="58"/>
    </row>
    <row r="6" spans="1:20" s="15" customFormat="1" ht="26.25" customHeight="1" x14ac:dyDescent="0.2">
      <c r="A6" s="43" t="s">
        <v>1070</v>
      </c>
      <c r="B6" s="46" t="s">
        <v>20</v>
      </c>
      <c r="C6" s="44" t="s">
        <v>1074</v>
      </c>
      <c r="D6" s="54" t="s">
        <v>1077</v>
      </c>
      <c r="E6" s="46" t="s">
        <v>1081</v>
      </c>
      <c r="F6" s="35">
        <f>25000+25000</f>
        <v>50000</v>
      </c>
      <c r="G6" s="35">
        <v>25000</v>
      </c>
      <c r="H6" s="35">
        <f>25000+25000</f>
        <v>50000</v>
      </c>
      <c r="I6" s="35">
        <f t="shared" si="0"/>
        <v>75000</v>
      </c>
      <c r="J6" s="36">
        <f t="shared" si="1"/>
        <v>2</v>
      </c>
      <c r="K6" s="48" t="s">
        <v>14</v>
      </c>
      <c r="L6" s="48" t="s">
        <v>14</v>
      </c>
      <c r="M6" s="38">
        <v>42916</v>
      </c>
      <c r="N6" s="48" t="s">
        <v>28</v>
      </c>
      <c r="O6" s="35">
        <v>25000</v>
      </c>
      <c r="P6" s="35">
        <v>25000</v>
      </c>
      <c r="Q6" s="35"/>
      <c r="R6" s="35"/>
      <c r="S6" s="58"/>
      <c r="T6" s="58"/>
    </row>
    <row r="7" spans="1:20" s="15" customFormat="1" ht="26.25" customHeight="1" x14ac:dyDescent="0.2">
      <c r="A7" s="43" t="s">
        <v>980</v>
      </c>
      <c r="B7" s="46" t="s">
        <v>20</v>
      </c>
      <c r="C7" s="44" t="s">
        <v>989</v>
      </c>
      <c r="D7" s="47">
        <v>14510</v>
      </c>
      <c r="E7" s="46" t="s">
        <v>1001</v>
      </c>
      <c r="F7" s="35">
        <f>6000*3</f>
        <v>18000</v>
      </c>
      <c r="G7" s="35">
        <f>6000*3</f>
        <v>18000</v>
      </c>
      <c r="H7" s="35">
        <v>0</v>
      </c>
      <c r="I7" s="35">
        <f t="shared" si="0"/>
        <v>18000</v>
      </c>
      <c r="J7" s="36">
        <f t="shared" si="1"/>
        <v>0</v>
      </c>
      <c r="K7" s="48" t="s">
        <v>15</v>
      </c>
      <c r="L7" s="48" t="s">
        <v>14</v>
      </c>
      <c r="M7" s="38">
        <v>43221</v>
      </c>
      <c r="N7" s="48" t="s">
        <v>18</v>
      </c>
      <c r="O7" s="35">
        <v>6000</v>
      </c>
      <c r="P7" s="35">
        <v>6000</v>
      </c>
      <c r="Q7" s="35">
        <v>6000</v>
      </c>
      <c r="R7" s="35"/>
      <c r="S7" s="58"/>
      <c r="T7" s="58"/>
    </row>
    <row r="8" spans="1:20" s="15" customFormat="1" ht="26.25" customHeight="1" x14ac:dyDescent="0.2">
      <c r="A8" s="43" t="s">
        <v>189</v>
      </c>
      <c r="B8" s="46" t="s">
        <v>20</v>
      </c>
      <c r="C8" s="44" t="s">
        <v>65</v>
      </c>
      <c r="D8" s="47">
        <v>13325</v>
      </c>
      <c r="E8" s="46" t="s">
        <v>220</v>
      </c>
      <c r="F8" s="35">
        <f>99000*3</f>
        <v>297000</v>
      </c>
      <c r="G8" s="35">
        <f>99000*3</f>
        <v>297000</v>
      </c>
      <c r="H8" s="35">
        <v>0</v>
      </c>
      <c r="I8" s="35">
        <f t="shared" si="0"/>
        <v>297000</v>
      </c>
      <c r="J8" s="36">
        <f t="shared" si="1"/>
        <v>0</v>
      </c>
      <c r="K8" s="48" t="s">
        <v>14</v>
      </c>
      <c r="L8" s="48" t="s">
        <v>15</v>
      </c>
      <c r="M8" s="38">
        <v>42958</v>
      </c>
      <c r="N8" s="48" t="s">
        <v>18</v>
      </c>
      <c r="O8" s="41">
        <v>99000</v>
      </c>
      <c r="P8" s="41">
        <v>99000</v>
      </c>
      <c r="Q8" s="41">
        <v>99000</v>
      </c>
      <c r="R8" s="41"/>
      <c r="S8" s="58"/>
      <c r="T8" s="58"/>
    </row>
    <row r="9" spans="1:20" s="15" customFormat="1" ht="26.25" customHeight="1" x14ac:dyDescent="0.2">
      <c r="A9" s="43" t="s">
        <v>690</v>
      </c>
      <c r="B9" s="46" t="s">
        <v>20</v>
      </c>
      <c r="C9" s="44" t="s">
        <v>695</v>
      </c>
      <c r="D9" s="47">
        <v>13899</v>
      </c>
      <c r="E9" s="46" t="s">
        <v>701</v>
      </c>
      <c r="F9" s="35">
        <f>10000*3</f>
        <v>30000</v>
      </c>
      <c r="G9" s="35">
        <f>10000*3</f>
        <v>30000</v>
      </c>
      <c r="H9" s="35">
        <v>0</v>
      </c>
      <c r="I9" s="35">
        <f t="shared" si="0"/>
        <v>30000</v>
      </c>
      <c r="J9" s="36">
        <f t="shared" si="1"/>
        <v>0</v>
      </c>
      <c r="K9" s="48" t="s">
        <v>14</v>
      </c>
      <c r="L9" s="48" t="s">
        <v>14</v>
      </c>
      <c r="M9" s="38">
        <v>42916</v>
      </c>
      <c r="N9" s="48" t="s">
        <v>18</v>
      </c>
      <c r="O9" s="35">
        <v>10000</v>
      </c>
      <c r="P9" s="35">
        <v>10000</v>
      </c>
      <c r="Q9" s="35">
        <v>10000</v>
      </c>
      <c r="R9" s="35"/>
      <c r="S9" s="58"/>
      <c r="T9" s="58"/>
    </row>
    <row r="10" spans="1:20" s="15" customFormat="1" ht="18" customHeight="1" x14ac:dyDescent="0.2">
      <c r="A10" s="43" t="s">
        <v>164</v>
      </c>
      <c r="B10" s="46" t="s">
        <v>20</v>
      </c>
      <c r="C10" s="44" t="s">
        <v>74</v>
      </c>
      <c r="D10" s="47">
        <v>13006</v>
      </c>
      <c r="E10" s="46" t="s">
        <v>182</v>
      </c>
      <c r="F10" s="35">
        <f>15000*3</f>
        <v>45000</v>
      </c>
      <c r="G10" s="35">
        <f>15000*3</f>
        <v>45000</v>
      </c>
      <c r="H10" s="35">
        <v>0</v>
      </c>
      <c r="I10" s="35">
        <f t="shared" si="0"/>
        <v>45000</v>
      </c>
      <c r="J10" s="36">
        <f t="shared" si="1"/>
        <v>0</v>
      </c>
      <c r="K10" s="48" t="s">
        <v>14</v>
      </c>
      <c r="L10" s="48" t="s">
        <v>14</v>
      </c>
      <c r="M10" s="52">
        <v>42916</v>
      </c>
      <c r="N10" s="48" t="s">
        <v>18</v>
      </c>
      <c r="O10" s="41">
        <v>15000</v>
      </c>
      <c r="P10" s="41">
        <v>15000</v>
      </c>
      <c r="Q10" s="41">
        <v>15000</v>
      </c>
      <c r="R10" s="41"/>
      <c r="S10" s="58"/>
      <c r="T10" s="58"/>
    </row>
    <row r="11" spans="1:20" s="15" customFormat="1" ht="18" customHeight="1" x14ac:dyDescent="0.2">
      <c r="A11" s="43" t="s">
        <v>1151</v>
      </c>
      <c r="B11" s="46" t="s">
        <v>20</v>
      </c>
      <c r="C11" s="44" t="s">
        <v>74</v>
      </c>
      <c r="D11" s="47">
        <v>14589</v>
      </c>
      <c r="E11" s="46" t="s">
        <v>1169</v>
      </c>
      <c r="F11" s="35">
        <f>15000*3</f>
        <v>45000</v>
      </c>
      <c r="G11" s="35">
        <f>15000*3</f>
        <v>45000</v>
      </c>
      <c r="H11" s="35">
        <v>0</v>
      </c>
      <c r="I11" s="35">
        <f t="shared" si="0"/>
        <v>45000</v>
      </c>
      <c r="J11" s="36">
        <f t="shared" si="1"/>
        <v>0</v>
      </c>
      <c r="K11" s="48" t="s">
        <v>14</v>
      </c>
      <c r="L11" s="48" t="s">
        <v>14</v>
      </c>
      <c r="M11" s="38">
        <v>43281</v>
      </c>
      <c r="N11" s="48" t="s">
        <v>18</v>
      </c>
      <c r="O11" s="35"/>
      <c r="P11" s="35">
        <v>15000</v>
      </c>
      <c r="Q11" s="35">
        <v>15000</v>
      </c>
      <c r="R11" s="35">
        <v>15000</v>
      </c>
      <c r="S11" s="58"/>
      <c r="T11" s="58"/>
    </row>
    <row r="12" spans="1:20" s="15" customFormat="1" ht="26.25" customHeight="1" x14ac:dyDescent="0.2">
      <c r="A12" s="43" t="s">
        <v>1158</v>
      </c>
      <c r="B12" s="46" t="s">
        <v>20</v>
      </c>
      <c r="C12" s="44" t="s">
        <v>74</v>
      </c>
      <c r="D12" s="54" t="s">
        <v>1167</v>
      </c>
      <c r="E12" s="46" t="s">
        <v>1169</v>
      </c>
      <c r="F12" s="35">
        <v>5000</v>
      </c>
      <c r="G12" s="35">
        <v>15000</v>
      </c>
      <c r="H12" s="35">
        <v>5000</v>
      </c>
      <c r="I12" s="35">
        <f t="shared" si="0"/>
        <v>20000</v>
      </c>
      <c r="J12" s="36">
        <f t="shared" si="1"/>
        <v>0.33333333333333331</v>
      </c>
      <c r="K12" s="48" t="s">
        <v>14</v>
      </c>
      <c r="L12" s="48" t="s">
        <v>14</v>
      </c>
      <c r="M12" s="38">
        <v>42916</v>
      </c>
      <c r="N12" s="48" t="s">
        <v>28</v>
      </c>
      <c r="O12" s="35">
        <v>5000</v>
      </c>
      <c r="P12" s="35"/>
      <c r="Q12" s="35"/>
      <c r="R12" s="35"/>
      <c r="S12" s="58"/>
      <c r="T12" s="58"/>
    </row>
    <row r="13" spans="1:20" s="15" customFormat="1" ht="26.25" customHeight="1" x14ac:dyDescent="0.2">
      <c r="A13" s="43" t="s">
        <v>1084</v>
      </c>
      <c r="B13" s="46" t="s">
        <v>20</v>
      </c>
      <c r="C13" s="44" t="s">
        <v>1091</v>
      </c>
      <c r="D13" s="47">
        <v>14516</v>
      </c>
      <c r="E13" s="46" t="s">
        <v>1099</v>
      </c>
      <c r="F13" s="35">
        <f>36000*3</f>
        <v>108000</v>
      </c>
      <c r="G13" s="35">
        <f>36000*3</f>
        <v>108000</v>
      </c>
      <c r="H13" s="35">
        <v>0</v>
      </c>
      <c r="I13" s="35">
        <f t="shared" si="0"/>
        <v>108000</v>
      </c>
      <c r="J13" s="36">
        <f t="shared" si="1"/>
        <v>0</v>
      </c>
      <c r="K13" s="48" t="s">
        <v>14</v>
      </c>
      <c r="L13" s="48" t="s">
        <v>15</v>
      </c>
      <c r="M13" s="38">
        <v>43221</v>
      </c>
      <c r="N13" s="48" t="s">
        <v>18</v>
      </c>
      <c r="O13" s="35">
        <v>36000</v>
      </c>
      <c r="P13" s="35">
        <v>36000</v>
      </c>
      <c r="Q13" s="35">
        <v>36000</v>
      </c>
      <c r="R13" s="35"/>
      <c r="S13" s="58"/>
      <c r="T13" s="58"/>
    </row>
    <row r="14" spans="1:20" s="15" customFormat="1" ht="18" customHeight="1" x14ac:dyDescent="0.2">
      <c r="A14" s="43" t="s">
        <v>234</v>
      </c>
      <c r="B14" s="46" t="s">
        <v>20</v>
      </c>
      <c r="C14" s="44" t="s">
        <v>255</v>
      </c>
      <c r="D14" s="47">
        <v>13037</v>
      </c>
      <c r="E14" s="46" t="s">
        <v>271</v>
      </c>
      <c r="F14" s="35">
        <f>5500*3</f>
        <v>16500</v>
      </c>
      <c r="G14" s="35">
        <f>5500*3</f>
        <v>16500</v>
      </c>
      <c r="H14" s="35">
        <v>0</v>
      </c>
      <c r="I14" s="35">
        <f t="shared" si="0"/>
        <v>16500</v>
      </c>
      <c r="J14" s="36">
        <f t="shared" si="1"/>
        <v>0</v>
      </c>
      <c r="K14" s="48" t="s">
        <v>14</v>
      </c>
      <c r="L14" s="48" t="s">
        <v>14</v>
      </c>
      <c r="M14" s="38">
        <v>42916</v>
      </c>
      <c r="N14" s="48" t="s">
        <v>18</v>
      </c>
      <c r="O14" s="35">
        <v>5500</v>
      </c>
      <c r="P14" s="35">
        <v>5500</v>
      </c>
      <c r="Q14" s="35">
        <v>5500</v>
      </c>
      <c r="R14" s="35"/>
      <c r="S14" s="58"/>
      <c r="T14" s="58"/>
    </row>
    <row r="15" spans="1:20" s="15" customFormat="1" ht="26.25" customHeight="1" x14ac:dyDescent="0.2">
      <c r="A15" s="43" t="s">
        <v>1083</v>
      </c>
      <c r="B15" s="46" t="s">
        <v>20</v>
      </c>
      <c r="C15" s="44" t="s">
        <v>255</v>
      </c>
      <c r="D15" s="54" t="s">
        <v>1097</v>
      </c>
      <c r="E15" s="46" t="s">
        <v>1098</v>
      </c>
      <c r="F15" s="35">
        <f>6000*3</f>
        <v>18000</v>
      </c>
      <c r="G15" s="35">
        <v>5500</v>
      </c>
      <c r="H15" s="35">
        <f>6000*3</f>
        <v>18000</v>
      </c>
      <c r="I15" s="35">
        <f t="shared" si="0"/>
        <v>23500</v>
      </c>
      <c r="J15" s="36">
        <f t="shared" si="1"/>
        <v>3.2727272727272729</v>
      </c>
      <c r="K15" s="48" t="s">
        <v>14</v>
      </c>
      <c r="L15" s="48" t="s">
        <v>14</v>
      </c>
      <c r="M15" s="38">
        <v>42916</v>
      </c>
      <c r="N15" s="48" t="s">
        <v>28</v>
      </c>
      <c r="O15" s="35">
        <v>6000</v>
      </c>
      <c r="P15" s="35">
        <v>6000</v>
      </c>
      <c r="Q15" s="35">
        <v>6000</v>
      </c>
      <c r="R15" s="35"/>
      <c r="S15" s="58"/>
      <c r="T15" s="58"/>
    </row>
    <row r="16" spans="1:20" s="15" customFormat="1" ht="26.25" customHeight="1" x14ac:dyDescent="0.2">
      <c r="A16" s="43" t="s">
        <v>1085</v>
      </c>
      <c r="B16" s="46" t="s">
        <v>20</v>
      </c>
      <c r="C16" s="44" t="s">
        <v>1092</v>
      </c>
      <c r="D16" s="47">
        <v>14517</v>
      </c>
      <c r="E16" s="46" t="s">
        <v>1099</v>
      </c>
      <c r="F16" s="35">
        <f>9000*3</f>
        <v>27000</v>
      </c>
      <c r="G16" s="35">
        <f>9000*3</f>
        <v>27000</v>
      </c>
      <c r="H16" s="35">
        <v>0</v>
      </c>
      <c r="I16" s="35">
        <f t="shared" si="0"/>
        <v>27000</v>
      </c>
      <c r="J16" s="36">
        <f t="shared" si="1"/>
        <v>0</v>
      </c>
      <c r="K16" s="48" t="s">
        <v>14</v>
      </c>
      <c r="L16" s="48" t="s">
        <v>15</v>
      </c>
      <c r="M16" s="38">
        <v>43221</v>
      </c>
      <c r="N16" s="48" t="s">
        <v>18</v>
      </c>
      <c r="O16" s="35">
        <v>9000</v>
      </c>
      <c r="P16" s="35">
        <v>9000</v>
      </c>
      <c r="Q16" s="35">
        <v>9000</v>
      </c>
      <c r="R16" s="35"/>
      <c r="S16" s="58"/>
      <c r="T16" s="58"/>
    </row>
    <row r="17" spans="1:20" s="15" customFormat="1" ht="26.25" customHeight="1" x14ac:dyDescent="0.2">
      <c r="A17" s="43" t="s">
        <v>1156</v>
      </c>
      <c r="B17" s="46" t="s">
        <v>20</v>
      </c>
      <c r="C17" s="44" t="s">
        <v>1163</v>
      </c>
      <c r="D17" s="47">
        <v>14885</v>
      </c>
      <c r="E17" s="46" t="s">
        <v>1174</v>
      </c>
      <c r="F17" s="35">
        <f>7290*3</f>
        <v>21870</v>
      </c>
      <c r="G17" s="35">
        <f>7290*3</f>
        <v>21870</v>
      </c>
      <c r="H17" s="35">
        <v>0</v>
      </c>
      <c r="I17" s="35">
        <f t="shared" si="0"/>
        <v>21870</v>
      </c>
      <c r="J17" s="36">
        <f t="shared" si="1"/>
        <v>0</v>
      </c>
      <c r="K17" s="48" t="s">
        <v>14</v>
      </c>
      <c r="L17" s="48" t="s">
        <v>14</v>
      </c>
      <c r="M17" s="38">
        <v>43281</v>
      </c>
      <c r="N17" s="48" t="s">
        <v>18</v>
      </c>
      <c r="O17" s="35"/>
      <c r="P17" s="35">
        <v>7290</v>
      </c>
      <c r="Q17" s="35">
        <v>7290</v>
      </c>
      <c r="R17" s="35">
        <v>7290</v>
      </c>
      <c r="S17" s="58"/>
      <c r="T17" s="58"/>
    </row>
    <row r="18" spans="1:20" s="15" customFormat="1" ht="26.25" customHeight="1" x14ac:dyDescent="0.2">
      <c r="A18" s="43" t="s">
        <v>975</v>
      </c>
      <c r="B18" s="46" t="s">
        <v>20</v>
      </c>
      <c r="C18" s="44" t="s">
        <v>985</v>
      </c>
      <c r="D18" s="54" t="s">
        <v>990</v>
      </c>
      <c r="E18" s="46" t="s">
        <v>996</v>
      </c>
      <c r="F18" s="35">
        <f>5000+5000</f>
        <v>10000</v>
      </c>
      <c r="G18" s="35">
        <v>14290</v>
      </c>
      <c r="H18" s="35">
        <f>5000+5000</f>
        <v>10000</v>
      </c>
      <c r="I18" s="35">
        <f t="shared" si="0"/>
        <v>24290</v>
      </c>
      <c r="J18" s="36">
        <f t="shared" si="1"/>
        <v>0.69979006298110569</v>
      </c>
      <c r="K18" s="48" t="s">
        <v>14</v>
      </c>
      <c r="L18" s="48" t="s">
        <v>14</v>
      </c>
      <c r="M18" s="38">
        <v>42916</v>
      </c>
      <c r="N18" s="48" t="s">
        <v>28</v>
      </c>
      <c r="O18" s="35">
        <v>5000</v>
      </c>
      <c r="P18" s="35">
        <v>5000</v>
      </c>
      <c r="Q18" s="35"/>
      <c r="R18" s="35"/>
      <c r="S18" s="58"/>
      <c r="T18" s="58"/>
    </row>
    <row r="19" spans="1:20" s="15" customFormat="1" ht="26.25" customHeight="1" x14ac:dyDescent="0.2">
      <c r="A19" s="43" t="s">
        <v>755</v>
      </c>
      <c r="B19" s="46" t="s">
        <v>766</v>
      </c>
      <c r="C19" s="44" t="s">
        <v>769</v>
      </c>
      <c r="D19" s="47">
        <v>13952</v>
      </c>
      <c r="E19" s="46" t="s">
        <v>780</v>
      </c>
      <c r="F19" s="35">
        <v>6250</v>
      </c>
      <c r="G19" s="35">
        <v>6250</v>
      </c>
      <c r="H19" s="35">
        <v>0</v>
      </c>
      <c r="I19" s="35">
        <f t="shared" si="0"/>
        <v>6250</v>
      </c>
      <c r="J19" s="36">
        <f t="shared" si="1"/>
        <v>0</v>
      </c>
      <c r="K19" s="48" t="s">
        <v>14</v>
      </c>
      <c r="L19" s="48" t="s">
        <v>14</v>
      </c>
      <c r="M19" s="38">
        <v>42916</v>
      </c>
      <c r="N19" s="48"/>
      <c r="O19" s="35">
        <v>6250</v>
      </c>
      <c r="P19" s="35"/>
      <c r="Q19" s="35"/>
      <c r="R19" s="35"/>
      <c r="S19" s="58"/>
      <c r="T19" s="58"/>
    </row>
    <row r="20" spans="1:20" s="15" customFormat="1" ht="26.25" customHeight="1" x14ac:dyDescent="0.2">
      <c r="A20" s="43" t="s">
        <v>109</v>
      </c>
      <c r="B20" s="46" t="s">
        <v>92</v>
      </c>
      <c r="C20" s="44" t="s">
        <v>82</v>
      </c>
      <c r="D20" s="47">
        <v>12883</v>
      </c>
      <c r="E20" s="46" t="s">
        <v>141</v>
      </c>
      <c r="F20" s="35">
        <v>15216</v>
      </c>
      <c r="G20" s="35">
        <v>15216</v>
      </c>
      <c r="H20" s="35">
        <v>0</v>
      </c>
      <c r="I20" s="49">
        <f t="shared" si="0"/>
        <v>15216</v>
      </c>
      <c r="J20" s="51">
        <f t="shared" si="1"/>
        <v>0</v>
      </c>
      <c r="K20" s="48" t="s">
        <v>14</v>
      </c>
      <c r="L20" s="48" t="s">
        <v>15</v>
      </c>
      <c r="M20" s="38">
        <v>42916</v>
      </c>
      <c r="N20" s="48"/>
      <c r="O20" s="35">
        <v>15216</v>
      </c>
      <c r="P20" s="35"/>
      <c r="Q20" s="35"/>
      <c r="R20" s="35"/>
      <c r="S20" s="58"/>
      <c r="T20" s="58"/>
    </row>
    <row r="21" spans="1:20" s="15" customFormat="1" ht="26.25" customHeight="1" x14ac:dyDescent="0.2">
      <c r="A21" s="43" t="s">
        <v>111</v>
      </c>
      <c r="B21" s="46" t="s">
        <v>92</v>
      </c>
      <c r="C21" s="44" t="s">
        <v>82</v>
      </c>
      <c r="D21" s="47">
        <v>12887</v>
      </c>
      <c r="E21" s="46" t="s">
        <v>143</v>
      </c>
      <c r="F21" s="35">
        <v>21839</v>
      </c>
      <c r="G21" s="35">
        <v>21839</v>
      </c>
      <c r="H21" s="35">
        <v>0</v>
      </c>
      <c r="I21" s="49">
        <f t="shared" si="0"/>
        <v>21839</v>
      </c>
      <c r="J21" s="51">
        <f t="shared" si="1"/>
        <v>0</v>
      </c>
      <c r="K21" s="48" t="s">
        <v>14</v>
      </c>
      <c r="L21" s="48" t="s">
        <v>15</v>
      </c>
      <c r="M21" s="38">
        <v>42916</v>
      </c>
      <c r="N21" s="48"/>
      <c r="O21" s="35">
        <v>21839</v>
      </c>
      <c r="P21" s="35"/>
      <c r="Q21" s="35"/>
      <c r="R21" s="35"/>
      <c r="S21" s="58"/>
      <c r="T21" s="58"/>
    </row>
    <row r="22" spans="1:20" s="15" customFormat="1" ht="26.25" customHeight="1" x14ac:dyDescent="0.2">
      <c r="A22" s="43" t="s">
        <v>708</v>
      </c>
      <c r="B22" s="46" t="s">
        <v>92</v>
      </c>
      <c r="C22" s="44" t="s">
        <v>82</v>
      </c>
      <c r="D22" s="47">
        <v>13863</v>
      </c>
      <c r="E22" s="46" t="s">
        <v>725</v>
      </c>
      <c r="F22" s="35">
        <v>21839</v>
      </c>
      <c r="G22" s="35">
        <v>21839</v>
      </c>
      <c r="H22" s="35">
        <v>0</v>
      </c>
      <c r="I22" s="35">
        <f t="shared" si="0"/>
        <v>21839</v>
      </c>
      <c r="J22" s="36">
        <f t="shared" si="1"/>
        <v>0</v>
      </c>
      <c r="K22" s="48" t="s">
        <v>14</v>
      </c>
      <c r="L22" s="48" t="s">
        <v>15</v>
      </c>
      <c r="M22" s="38">
        <v>42916</v>
      </c>
      <c r="N22" s="48"/>
      <c r="O22" s="35">
        <v>21839</v>
      </c>
      <c r="P22" s="35"/>
      <c r="Q22" s="35"/>
      <c r="R22" s="35"/>
      <c r="S22" s="58"/>
      <c r="T22" s="58"/>
    </row>
    <row r="23" spans="1:20" s="15" customFormat="1" ht="26.25" customHeight="1" x14ac:dyDescent="0.2">
      <c r="A23" s="43" t="s">
        <v>763</v>
      </c>
      <c r="B23" s="46" t="s">
        <v>92</v>
      </c>
      <c r="C23" s="44" t="s">
        <v>82</v>
      </c>
      <c r="D23" s="47">
        <v>14062</v>
      </c>
      <c r="E23" s="46" t="s">
        <v>788</v>
      </c>
      <c r="F23" s="35">
        <v>6275</v>
      </c>
      <c r="G23" s="35">
        <v>6275</v>
      </c>
      <c r="H23" s="35">
        <v>0</v>
      </c>
      <c r="I23" s="35">
        <f t="shared" si="0"/>
        <v>6275</v>
      </c>
      <c r="J23" s="36">
        <f t="shared" si="1"/>
        <v>0</v>
      </c>
      <c r="K23" s="48" t="s">
        <v>14</v>
      </c>
      <c r="L23" s="48" t="s">
        <v>14</v>
      </c>
      <c r="M23" s="38">
        <v>42916</v>
      </c>
      <c r="N23" s="48"/>
      <c r="O23" s="35">
        <v>6275</v>
      </c>
      <c r="P23" s="35"/>
      <c r="Q23" s="35"/>
      <c r="R23" s="35"/>
      <c r="S23" s="58"/>
      <c r="T23" s="58"/>
    </row>
    <row r="24" spans="1:20" s="15" customFormat="1" ht="26.25" customHeight="1" x14ac:dyDescent="0.2">
      <c r="A24" s="43" t="s">
        <v>1139</v>
      </c>
      <c r="B24" s="46" t="s">
        <v>92</v>
      </c>
      <c r="C24" s="44" t="s">
        <v>82</v>
      </c>
      <c r="D24" s="47">
        <v>14801</v>
      </c>
      <c r="E24" s="46" t="s">
        <v>1149</v>
      </c>
      <c r="F24" s="35">
        <f>5159*3</f>
        <v>15477</v>
      </c>
      <c r="G24" s="35">
        <f>5159*3</f>
        <v>15477</v>
      </c>
      <c r="H24" s="35">
        <v>0</v>
      </c>
      <c r="I24" s="35">
        <f t="shared" si="0"/>
        <v>15477</v>
      </c>
      <c r="J24" s="36">
        <f t="shared" si="1"/>
        <v>0</v>
      </c>
      <c r="K24" s="48" t="s">
        <v>14</v>
      </c>
      <c r="L24" s="48" t="s">
        <v>14</v>
      </c>
      <c r="M24" s="38">
        <v>43281</v>
      </c>
      <c r="N24" s="48" t="s">
        <v>18</v>
      </c>
      <c r="O24" s="35"/>
      <c r="P24" s="35">
        <v>5159</v>
      </c>
      <c r="Q24" s="35">
        <v>5159</v>
      </c>
      <c r="R24" s="35">
        <v>5159</v>
      </c>
      <c r="S24" s="58"/>
      <c r="T24" s="58"/>
    </row>
    <row r="25" spans="1:20" s="15" customFormat="1" ht="18" customHeight="1" x14ac:dyDescent="0.2">
      <c r="A25" s="43" t="s">
        <v>523</v>
      </c>
      <c r="B25" s="46" t="s">
        <v>92</v>
      </c>
      <c r="C25" s="44" t="s">
        <v>531</v>
      </c>
      <c r="D25" s="47">
        <v>13636</v>
      </c>
      <c r="E25" s="46" t="s">
        <v>538</v>
      </c>
      <c r="F25" s="35">
        <v>10000</v>
      </c>
      <c r="G25" s="35">
        <v>10000</v>
      </c>
      <c r="H25" s="35">
        <v>0</v>
      </c>
      <c r="I25" s="35">
        <f t="shared" si="0"/>
        <v>10000</v>
      </c>
      <c r="J25" s="36">
        <f t="shared" si="1"/>
        <v>0</v>
      </c>
      <c r="K25" s="48" t="s">
        <v>14</v>
      </c>
      <c r="L25" s="48" t="s">
        <v>14</v>
      </c>
      <c r="M25" s="38">
        <v>42916</v>
      </c>
      <c r="N25" s="48"/>
      <c r="O25" s="35">
        <v>10000</v>
      </c>
      <c r="P25" s="35"/>
      <c r="Q25" s="35"/>
      <c r="R25" s="35"/>
      <c r="S25" s="58"/>
      <c r="T25" s="58"/>
    </row>
    <row r="26" spans="1:20" s="15" customFormat="1" ht="26.25" customHeight="1" x14ac:dyDescent="0.2">
      <c r="A26" s="43" t="s">
        <v>105</v>
      </c>
      <c r="B26" s="46" t="s">
        <v>92</v>
      </c>
      <c r="C26" s="44" t="s">
        <v>124</v>
      </c>
      <c r="D26" s="47">
        <v>12688</v>
      </c>
      <c r="E26" s="55" t="s">
        <v>139</v>
      </c>
      <c r="F26" s="35">
        <v>27414</v>
      </c>
      <c r="G26" s="40">
        <v>27414</v>
      </c>
      <c r="H26" s="35">
        <v>0</v>
      </c>
      <c r="I26" s="49">
        <f t="shared" si="0"/>
        <v>27414</v>
      </c>
      <c r="J26" s="51">
        <f t="shared" si="1"/>
        <v>0</v>
      </c>
      <c r="K26" s="48" t="s">
        <v>14</v>
      </c>
      <c r="L26" s="48" t="s">
        <v>15</v>
      </c>
      <c r="M26" s="52">
        <v>42916</v>
      </c>
      <c r="N26" s="48"/>
      <c r="O26" s="41">
        <v>27414</v>
      </c>
      <c r="P26" s="41"/>
      <c r="Q26" s="41"/>
      <c r="R26" s="41"/>
      <c r="S26" s="58"/>
      <c r="T26" s="58"/>
    </row>
    <row r="27" spans="1:20" s="15" customFormat="1" ht="26.25" customHeight="1" x14ac:dyDescent="0.2">
      <c r="A27" s="43" t="s">
        <v>672</v>
      </c>
      <c r="B27" s="46" t="s">
        <v>92</v>
      </c>
      <c r="C27" s="44" t="s">
        <v>674</v>
      </c>
      <c r="D27" s="47">
        <v>13827</v>
      </c>
      <c r="E27" s="46" t="s">
        <v>677</v>
      </c>
      <c r="F27" s="35">
        <v>92651</v>
      </c>
      <c r="G27" s="35">
        <v>92651</v>
      </c>
      <c r="H27" s="35">
        <v>0</v>
      </c>
      <c r="I27" s="35">
        <f t="shared" si="0"/>
        <v>92651</v>
      </c>
      <c r="J27" s="36">
        <f t="shared" si="1"/>
        <v>0</v>
      </c>
      <c r="K27" s="48" t="s">
        <v>14</v>
      </c>
      <c r="L27" s="48" t="s">
        <v>15</v>
      </c>
      <c r="M27" s="38">
        <v>42916</v>
      </c>
      <c r="N27" s="48"/>
      <c r="O27" s="35">
        <v>92651</v>
      </c>
      <c r="P27" s="35"/>
      <c r="Q27" s="35"/>
      <c r="R27" s="35"/>
      <c r="S27" s="58"/>
      <c r="T27" s="58"/>
    </row>
    <row r="28" spans="1:20" s="15" customFormat="1" ht="26.25" customHeight="1" x14ac:dyDescent="0.2">
      <c r="A28" s="43" t="s">
        <v>88</v>
      </c>
      <c r="B28" s="46" t="s">
        <v>92</v>
      </c>
      <c r="C28" s="44" t="s">
        <v>94</v>
      </c>
      <c r="D28" s="39">
        <v>12885</v>
      </c>
      <c r="E28" s="46" t="s">
        <v>99</v>
      </c>
      <c r="F28" s="35">
        <v>67179</v>
      </c>
      <c r="G28" s="40">
        <v>67179</v>
      </c>
      <c r="H28" s="35">
        <v>0</v>
      </c>
      <c r="I28" s="49">
        <f t="shared" si="0"/>
        <v>67179</v>
      </c>
      <c r="J28" s="51">
        <f t="shared" si="1"/>
        <v>0</v>
      </c>
      <c r="K28" s="48" t="s">
        <v>14</v>
      </c>
      <c r="L28" s="48" t="s">
        <v>15</v>
      </c>
      <c r="M28" s="38">
        <v>42916</v>
      </c>
      <c r="N28" s="48"/>
      <c r="O28" s="41">
        <v>67179</v>
      </c>
      <c r="P28" s="41"/>
      <c r="Q28" s="41"/>
      <c r="R28" s="41"/>
      <c r="S28" s="58"/>
      <c r="T28" s="58"/>
    </row>
    <row r="29" spans="1:20" s="15" customFormat="1" ht="26.25" customHeight="1" x14ac:dyDescent="0.2">
      <c r="A29" s="43" t="s">
        <v>107</v>
      </c>
      <c r="B29" s="46" t="s">
        <v>92</v>
      </c>
      <c r="C29" s="44" t="s">
        <v>43</v>
      </c>
      <c r="D29" s="47">
        <v>12881</v>
      </c>
      <c r="E29" s="46" t="s">
        <v>137</v>
      </c>
      <c r="F29" s="35">
        <v>7213</v>
      </c>
      <c r="G29" s="40">
        <v>7213</v>
      </c>
      <c r="H29" s="35">
        <v>0</v>
      </c>
      <c r="I29" s="49">
        <f t="shared" si="0"/>
        <v>7213</v>
      </c>
      <c r="J29" s="51">
        <f t="shared" si="1"/>
        <v>0</v>
      </c>
      <c r="K29" s="48" t="s">
        <v>14</v>
      </c>
      <c r="L29" s="48" t="s">
        <v>15</v>
      </c>
      <c r="M29" s="38">
        <v>42916</v>
      </c>
      <c r="N29" s="48"/>
      <c r="O29" s="41">
        <v>7213</v>
      </c>
      <c r="P29" s="41"/>
      <c r="Q29" s="41"/>
      <c r="R29" s="41"/>
      <c r="S29" s="58"/>
      <c r="T29" s="58"/>
    </row>
    <row r="30" spans="1:20" s="15" customFormat="1" ht="26.25" customHeight="1" x14ac:dyDescent="0.2">
      <c r="A30" s="43" t="s">
        <v>108</v>
      </c>
      <c r="B30" s="46" t="s">
        <v>92</v>
      </c>
      <c r="C30" s="44" t="s">
        <v>43</v>
      </c>
      <c r="D30" s="47">
        <v>12882</v>
      </c>
      <c r="E30" s="46" t="s">
        <v>140</v>
      </c>
      <c r="F30" s="35">
        <v>24819</v>
      </c>
      <c r="G30" s="35">
        <v>24819</v>
      </c>
      <c r="H30" s="35">
        <v>0</v>
      </c>
      <c r="I30" s="49">
        <f t="shared" si="0"/>
        <v>24819</v>
      </c>
      <c r="J30" s="51">
        <f t="shared" si="1"/>
        <v>0</v>
      </c>
      <c r="K30" s="48" t="s">
        <v>14</v>
      </c>
      <c r="L30" s="48" t="s">
        <v>15</v>
      </c>
      <c r="M30" s="38">
        <v>42916</v>
      </c>
      <c r="N30" s="48"/>
      <c r="O30" s="35">
        <v>24819</v>
      </c>
      <c r="P30" s="35"/>
      <c r="Q30" s="35"/>
      <c r="R30" s="35"/>
      <c r="S30" s="58"/>
      <c r="T30" s="58"/>
    </row>
    <row r="31" spans="1:20" s="15" customFormat="1" ht="26.25" customHeight="1" x14ac:dyDescent="0.2">
      <c r="A31" s="43" t="s">
        <v>113</v>
      </c>
      <c r="B31" s="46" t="s">
        <v>92</v>
      </c>
      <c r="C31" s="44" t="s">
        <v>43</v>
      </c>
      <c r="D31" s="47">
        <v>12890</v>
      </c>
      <c r="E31" s="46" t="s">
        <v>145</v>
      </c>
      <c r="F31" s="35">
        <v>15479</v>
      </c>
      <c r="G31" s="35">
        <v>15479</v>
      </c>
      <c r="H31" s="35">
        <v>0</v>
      </c>
      <c r="I31" s="49">
        <f t="shared" si="0"/>
        <v>15479</v>
      </c>
      <c r="J31" s="51">
        <f t="shared" si="1"/>
        <v>0</v>
      </c>
      <c r="K31" s="48" t="s">
        <v>14</v>
      </c>
      <c r="L31" s="48" t="s">
        <v>15</v>
      </c>
      <c r="M31" s="38">
        <v>42916</v>
      </c>
      <c r="N31" s="48"/>
      <c r="O31" s="35">
        <v>15479</v>
      </c>
      <c r="P31" s="41"/>
      <c r="Q31" s="41"/>
      <c r="R31" s="41"/>
      <c r="S31" s="58"/>
      <c r="T31" s="58"/>
    </row>
    <row r="32" spans="1:20" s="15" customFormat="1" ht="26.25" customHeight="1" x14ac:dyDescent="0.2">
      <c r="A32" s="43" t="s">
        <v>467</v>
      </c>
      <c r="B32" s="46" t="s">
        <v>92</v>
      </c>
      <c r="C32" s="44" t="s">
        <v>43</v>
      </c>
      <c r="D32" s="47">
        <v>13538</v>
      </c>
      <c r="E32" s="46" t="s">
        <v>493</v>
      </c>
      <c r="F32" s="35">
        <v>6713</v>
      </c>
      <c r="G32" s="35">
        <v>6713</v>
      </c>
      <c r="H32" s="35">
        <v>0</v>
      </c>
      <c r="I32" s="35">
        <f t="shared" si="0"/>
        <v>6713</v>
      </c>
      <c r="J32" s="36">
        <f t="shared" si="1"/>
        <v>0</v>
      </c>
      <c r="K32" s="48" t="s">
        <v>14</v>
      </c>
      <c r="L32" s="48" t="s">
        <v>15</v>
      </c>
      <c r="M32" s="38">
        <v>42916</v>
      </c>
      <c r="N32" s="48"/>
      <c r="O32" s="35">
        <v>6713</v>
      </c>
      <c r="P32" s="35"/>
      <c r="Q32" s="35"/>
      <c r="R32" s="35"/>
      <c r="S32" s="58"/>
      <c r="T32" s="58"/>
    </row>
    <row r="33" spans="1:20" s="15" customFormat="1" ht="26.25" customHeight="1" x14ac:dyDescent="0.2">
      <c r="A33" s="43" t="s">
        <v>1086</v>
      </c>
      <c r="B33" s="46" t="s">
        <v>92</v>
      </c>
      <c r="C33" s="44" t="s">
        <v>43</v>
      </c>
      <c r="D33" s="47">
        <v>14568</v>
      </c>
      <c r="E33" s="46" t="s">
        <v>1100</v>
      </c>
      <c r="F33" s="35">
        <v>38962</v>
      </c>
      <c r="G33" s="35">
        <v>38962</v>
      </c>
      <c r="H33" s="35">
        <v>0</v>
      </c>
      <c r="I33" s="35">
        <f t="shared" si="0"/>
        <v>38962</v>
      </c>
      <c r="J33" s="36">
        <f t="shared" si="1"/>
        <v>0</v>
      </c>
      <c r="K33" s="48" t="s">
        <v>14</v>
      </c>
      <c r="L33" s="48" t="s">
        <v>15</v>
      </c>
      <c r="M33" s="38">
        <v>43646</v>
      </c>
      <c r="N33" s="48"/>
      <c r="O33" s="35">
        <v>38962</v>
      </c>
      <c r="P33" s="35"/>
      <c r="Q33" s="35"/>
      <c r="R33" s="35"/>
      <c r="S33" s="58"/>
      <c r="T33" s="58"/>
    </row>
    <row r="34" spans="1:20" s="15" customFormat="1" ht="26.25" customHeight="1" x14ac:dyDescent="0.2">
      <c r="A34" s="43" t="s">
        <v>112</v>
      </c>
      <c r="B34" s="46" t="s">
        <v>92</v>
      </c>
      <c r="C34" s="44" t="s">
        <v>126</v>
      </c>
      <c r="D34" s="47">
        <v>12889</v>
      </c>
      <c r="E34" s="46" t="s">
        <v>144</v>
      </c>
      <c r="F34" s="35">
        <v>13472</v>
      </c>
      <c r="G34" s="35">
        <v>13472</v>
      </c>
      <c r="H34" s="35">
        <v>0</v>
      </c>
      <c r="I34" s="49">
        <f t="shared" si="0"/>
        <v>13472</v>
      </c>
      <c r="J34" s="51">
        <f t="shared" si="1"/>
        <v>0</v>
      </c>
      <c r="K34" s="48" t="s">
        <v>14</v>
      </c>
      <c r="L34" s="48" t="s">
        <v>15</v>
      </c>
      <c r="M34" s="38">
        <v>42916</v>
      </c>
      <c r="N34" s="48"/>
      <c r="O34" s="35">
        <v>13472</v>
      </c>
      <c r="P34" s="35"/>
      <c r="Q34" s="35"/>
      <c r="R34" s="35"/>
      <c r="S34" s="58"/>
      <c r="T34" s="58"/>
    </row>
    <row r="35" spans="1:20" s="15" customFormat="1" ht="26.25" customHeight="1" x14ac:dyDescent="0.2">
      <c r="A35" s="43" t="s">
        <v>465</v>
      </c>
      <c r="B35" s="46" t="s">
        <v>92</v>
      </c>
      <c r="C35" s="44" t="s">
        <v>126</v>
      </c>
      <c r="D35" s="47">
        <v>13553</v>
      </c>
      <c r="E35" s="46" t="s">
        <v>491</v>
      </c>
      <c r="F35" s="35">
        <v>9958</v>
      </c>
      <c r="G35" s="35">
        <v>9958</v>
      </c>
      <c r="H35" s="35">
        <v>0</v>
      </c>
      <c r="I35" s="35">
        <f t="shared" si="0"/>
        <v>9958</v>
      </c>
      <c r="J35" s="36">
        <f t="shared" si="1"/>
        <v>0</v>
      </c>
      <c r="K35" s="48" t="s">
        <v>14</v>
      </c>
      <c r="L35" s="48" t="s">
        <v>14</v>
      </c>
      <c r="M35" s="38">
        <v>42916</v>
      </c>
      <c r="N35" s="48"/>
      <c r="O35" s="35">
        <v>9958</v>
      </c>
      <c r="P35" s="35"/>
      <c r="Q35" s="35"/>
      <c r="R35" s="35"/>
      <c r="S35" s="58"/>
      <c r="T35" s="58"/>
    </row>
    <row r="36" spans="1:20" s="15" customFormat="1" ht="26.25" customHeight="1" x14ac:dyDescent="0.2">
      <c r="A36" s="43" t="s">
        <v>1154</v>
      </c>
      <c r="B36" s="46" t="s">
        <v>92</v>
      </c>
      <c r="C36" s="44" t="s">
        <v>126</v>
      </c>
      <c r="D36" s="47">
        <v>14852</v>
      </c>
      <c r="E36" s="46" t="s">
        <v>1172</v>
      </c>
      <c r="F36" s="35">
        <f>5024*3</f>
        <v>15072</v>
      </c>
      <c r="G36" s="35">
        <f>5024*3</f>
        <v>15072</v>
      </c>
      <c r="H36" s="35">
        <v>0</v>
      </c>
      <c r="I36" s="35">
        <f t="shared" si="0"/>
        <v>15072</v>
      </c>
      <c r="J36" s="36">
        <f t="shared" si="1"/>
        <v>0</v>
      </c>
      <c r="K36" s="48" t="s">
        <v>14</v>
      </c>
      <c r="L36" s="48" t="s">
        <v>15</v>
      </c>
      <c r="M36" s="38">
        <v>43281</v>
      </c>
      <c r="N36" s="48" t="s">
        <v>18</v>
      </c>
      <c r="O36" s="35">
        <v>5024</v>
      </c>
      <c r="P36" s="35">
        <v>5024</v>
      </c>
      <c r="Q36" s="35">
        <v>5024</v>
      </c>
      <c r="R36" s="35"/>
      <c r="S36" s="58"/>
      <c r="T36" s="58"/>
    </row>
    <row r="37" spans="1:20" s="15" customFormat="1" ht="26.25" customHeight="1" x14ac:dyDescent="0.2">
      <c r="A37" s="43" t="s">
        <v>632</v>
      </c>
      <c r="B37" s="46" t="s">
        <v>92</v>
      </c>
      <c r="C37" s="44" t="s">
        <v>645</v>
      </c>
      <c r="D37" s="54" t="s">
        <v>664</v>
      </c>
      <c r="E37" s="46" t="s">
        <v>657</v>
      </c>
      <c r="F37" s="35">
        <v>10000</v>
      </c>
      <c r="G37" s="35">
        <v>7233</v>
      </c>
      <c r="H37" s="35">
        <v>10000</v>
      </c>
      <c r="I37" s="35">
        <f t="shared" si="0"/>
        <v>17233</v>
      </c>
      <c r="J37" s="36">
        <f t="shared" si="1"/>
        <v>1.3825521913452232</v>
      </c>
      <c r="K37" s="48" t="s">
        <v>14</v>
      </c>
      <c r="L37" s="48" t="s">
        <v>14</v>
      </c>
      <c r="M37" s="38">
        <v>42916</v>
      </c>
      <c r="N37" s="48" t="s">
        <v>28</v>
      </c>
      <c r="O37" s="35">
        <v>10000</v>
      </c>
      <c r="P37" s="35"/>
      <c r="Q37" s="35"/>
      <c r="R37" s="35"/>
      <c r="S37" s="58"/>
      <c r="T37" s="58"/>
    </row>
    <row r="38" spans="1:20" s="15" customFormat="1" ht="26.25" customHeight="1" x14ac:dyDescent="0.2">
      <c r="A38" s="43" t="s">
        <v>1155</v>
      </c>
      <c r="B38" s="46" t="s">
        <v>92</v>
      </c>
      <c r="C38" s="44" t="s">
        <v>1162</v>
      </c>
      <c r="D38" s="47">
        <v>14853</v>
      </c>
      <c r="E38" s="46" t="s">
        <v>1173</v>
      </c>
      <c r="F38" s="35">
        <f>11374*3</f>
        <v>34122</v>
      </c>
      <c r="G38" s="35">
        <f>11374*3</f>
        <v>34122</v>
      </c>
      <c r="H38" s="35">
        <v>0</v>
      </c>
      <c r="I38" s="35">
        <f t="shared" si="0"/>
        <v>34122</v>
      </c>
      <c r="J38" s="36">
        <f t="shared" si="1"/>
        <v>0</v>
      </c>
      <c r="K38" s="48" t="s">
        <v>14</v>
      </c>
      <c r="L38" s="48" t="s">
        <v>15</v>
      </c>
      <c r="M38" s="38">
        <v>43281</v>
      </c>
      <c r="N38" s="48" t="s">
        <v>18</v>
      </c>
      <c r="O38" s="35">
        <v>11374</v>
      </c>
      <c r="P38" s="35">
        <v>11374</v>
      </c>
      <c r="Q38" s="35">
        <v>11374</v>
      </c>
      <c r="R38" s="35"/>
      <c r="S38" s="58"/>
      <c r="T38" s="58"/>
    </row>
    <row r="39" spans="1:20" s="15" customFormat="1" ht="18" customHeight="1" x14ac:dyDescent="0.2">
      <c r="A39" s="43" t="s">
        <v>1119</v>
      </c>
      <c r="B39" s="46" t="s">
        <v>92</v>
      </c>
      <c r="C39" s="44" t="s">
        <v>1124</v>
      </c>
      <c r="D39" s="47">
        <v>14743</v>
      </c>
      <c r="E39" s="46" t="s">
        <v>1129</v>
      </c>
      <c r="F39" s="35">
        <v>8000</v>
      </c>
      <c r="G39" s="35">
        <v>8000</v>
      </c>
      <c r="H39" s="35">
        <v>0</v>
      </c>
      <c r="I39" s="35">
        <f t="shared" si="0"/>
        <v>8000</v>
      </c>
      <c r="J39" s="36">
        <f t="shared" si="1"/>
        <v>0</v>
      </c>
      <c r="K39" s="48" t="s">
        <v>14</v>
      </c>
      <c r="L39" s="48" t="s">
        <v>14</v>
      </c>
      <c r="M39" s="38">
        <v>43280</v>
      </c>
      <c r="N39" s="48"/>
      <c r="O39" s="35">
        <v>8000</v>
      </c>
      <c r="P39" s="35"/>
      <c r="Q39" s="35"/>
      <c r="R39" s="35"/>
      <c r="S39" s="58"/>
      <c r="T39" s="58"/>
    </row>
    <row r="40" spans="1:20" s="15" customFormat="1" ht="26.25" customHeight="1" x14ac:dyDescent="0.2">
      <c r="A40" s="43" t="s">
        <v>466</v>
      </c>
      <c r="B40" s="46" t="s">
        <v>92</v>
      </c>
      <c r="C40" s="44" t="s">
        <v>479</v>
      </c>
      <c r="D40" s="47">
        <v>13552</v>
      </c>
      <c r="E40" s="46" t="s">
        <v>492</v>
      </c>
      <c r="F40" s="35">
        <v>7230</v>
      </c>
      <c r="G40" s="35">
        <v>7230</v>
      </c>
      <c r="H40" s="35">
        <v>0</v>
      </c>
      <c r="I40" s="35">
        <f t="shared" si="0"/>
        <v>7230</v>
      </c>
      <c r="J40" s="36">
        <f t="shared" si="1"/>
        <v>0</v>
      </c>
      <c r="K40" s="48" t="s">
        <v>14</v>
      </c>
      <c r="L40" s="48" t="s">
        <v>14</v>
      </c>
      <c r="M40" s="38">
        <v>42916</v>
      </c>
      <c r="N40" s="48"/>
      <c r="O40" s="35">
        <v>7230</v>
      </c>
      <c r="P40" s="35"/>
      <c r="Q40" s="35"/>
      <c r="R40" s="35"/>
      <c r="S40" s="58"/>
      <c r="T40" s="58"/>
    </row>
    <row r="41" spans="1:20" s="15" customFormat="1" ht="26.25" customHeight="1" x14ac:dyDescent="0.2">
      <c r="A41" s="43" t="s">
        <v>758</v>
      </c>
      <c r="B41" s="46" t="s">
        <v>92</v>
      </c>
      <c r="C41" s="44" t="s">
        <v>479</v>
      </c>
      <c r="D41" s="47">
        <v>14016</v>
      </c>
      <c r="E41" s="46" t="s">
        <v>783</v>
      </c>
      <c r="F41" s="35">
        <v>7230</v>
      </c>
      <c r="G41" s="35">
        <v>7230</v>
      </c>
      <c r="H41" s="35">
        <v>0</v>
      </c>
      <c r="I41" s="35">
        <f t="shared" si="0"/>
        <v>7230</v>
      </c>
      <c r="J41" s="36">
        <f t="shared" si="1"/>
        <v>0</v>
      </c>
      <c r="K41" s="48" t="s">
        <v>14</v>
      </c>
      <c r="L41" s="48" t="s">
        <v>15</v>
      </c>
      <c r="M41" s="38">
        <v>42916</v>
      </c>
      <c r="N41" s="48"/>
      <c r="O41" s="35">
        <v>7230</v>
      </c>
      <c r="P41" s="35"/>
      <c r="Q41" s="35"/>
      <c r="R41" s="35"/>
      <c r="S41" s="58"/>
      <c r="T41" s="58"/>
    </row>
    <row r="42" spans="1:20" s="15" customFormat="1" ht="26.25" customHeight="1" x14ac:dyDescent="0.2">
      <c r="A42" s="43" t="s">
        <v>1068</v>
      </c>
      <c r="B42" s="46" t="s">
        <v>92</v>
      </c>
      <c r="C42" s="44" t="s">
        <v>479</v>
      </c>
      <c r="D42" s="54" t="s">
        <v>1076</v>
      </c>
      <c r="E42" s="46" t="s">
        <v>1079</v>
      </c>
      <c r="F42" s="35">
        <v>37739</v>
      </c>
      <c r="G42" s="35">
        <v>37832</v>
      </c>
      <c r="H42" s="35">
        <v>37739</v>
      </c>
      <c r="I42" s="35">
        <f t="shared" si="0"/>
        <v>75571</v>
      </c>
      <c r="J42" s="36">
        <f t="shared" si="1"/>
        <v>0.99754176358638191</v>
      </c>
      <c r="K42" s="48" t="s">
        <v>14</v>
      </c>
      <c r="L42" s="48" t="s">
        <v>14</v>
      </c>
      <c r="M42" s="38">
        <v>42916</v>
      </c>
      <c r="N42" s="48" t="s">
        <v>28</v>
      </c>
      <c r="O42" s="35">
        <v>37739</v>
      </c>
      <c r="P42" s="35"/>
      <c r="Q42" s="35"/>
      <c r="R42" s="35"/>
      <c r="S42" s="58"/>
      <c r="T42" s="58"/>
    </row>
    <row r="43" spans="1:20" s="15" customFormat="1" ht="26.25" customHeight="1" x14ac:dyDescent="0.2">
      <c r="A43" s="43" t="s">
        <v>671</v>
      </c>
      <c r="B43" s="46" t="s">
        <v>92</v>
      </c>
      <c r="C43" s="44" t="s">
        <v>673</v>
      </c>
      <c r="D43" s="54" t="s">
        <v>675</v>
      </c>
      <c r="E43" s="46" t="s">
        <v>676</v>
      </c>
      <c r="F43" s="35">
        <v>50000</v>
      </c>
      <c r="G43" s="35">
        <f>25000+30000+25000</f>
        <v>80000</v>
      </c>
      <c r="H43" s="35">
        <v>50000</v>
      </c>
      <c r="I43" s="35">
        <f t="shared" si="0"/>
        <v>130000</v>
      </c>
      <c r="J43" s="36">
        <f t="shared" si="1"/>
        <v>0.625</v>
      </c>
      <c r="K43" s="48" t="s">
        <v>14</v>
      </c>
      <c r="L43" s="48" t="s">
        <v>14</v>
      </c>
      <c r="M43" s="38">
        <v>42916</v>
      </c>
      <c r="N43" s="48" t="s">
        <v>28</v>
      </c>
      <c r="O43" s="35">
        <v>50000</v>
      </c>
      <c r="P43" s="35"/>
      <c r="Q43" s="35"/>
      <c r="R43" s="35"/>
      <c r="S43" s="58"/>
      <c r="T43" s="58"/>
    </row>
    <row r="44" spans="1:20" s="15" customFormat="1" ht="26.25" customHeight="1" x14ac:dyDescent="0.2">
      <c r="A44" s="43" t="s">
        <v>89</v>
      </c>
      <c r="B44" s="46" t="s">
        <v>92</v>
      </c>
      <c r="C44" s="44" t="s">
        <v>29</v>
      </c>
      <c r="D44" s="34">
        <v>12886</v>
      </c>
      <c r="E44" s="46" t="s">
        <v>789</v>
      </c>
      <c r="F44" s="35">
        <v>78896</v>
      </c>
      <c r="G44" s="40">
        <v>78896</v>
      </c>
      <c r="H44" s="35">
        <v>0</v>
      </c>
      <c r="I44" s="49">
        <f t="shared" si="0"/>
        <v>78896</v>
      </c>
      <c r="J44" s="51">
        <f t="shared" si="1"/>
        <v>0</v>
      </c>
      <c r="K44" s="48" t="s">
        <v>14</v>
      </c>
      <c r="L44" s="48" t="s">
        <v>15</v>
      </c>
      <c r="M44" s="38">
        <v>42916</v>
      </c>
      <c r="N44" s="48"/>
      <c r="O44" s="41">
        <v>78896</v>
      </c>
      <c r="P44" s="41"/>
      <c r="Q44" s="41"/>
      <c r="R44" s="41"/>
      <c r="S44" s="58"/>
      <c r="T44" s="58"/>
    </row>
    <row r="45" spans="1:20" s="15" customFormat="1" ht="26.25" customHeight="1" x14ac:dyDescent="0.2">
      <c r="A45" s="43" t="s">
        <v>246</v>
      </c>
      <c r="B45" s="46" t="s">
        <v>92</v>
      </c>
      <c r="C45" s="44" t="s">
        <v>29</v>
      </c>
      <c r="D45" s="47">
        <v>13205</v>
      </c>
      <c r="E45" s="46" t="s">
        <v>281</v>
      </c>
      <c r="F45" s="35">
        <v>7669</v>
      </c>
      <c r="G45" s="35">
        <v>7669</v>
      </c>
      <c r="H45" s="35">
        <v>0</v>
      </c>
      <c r="I45" s="35">
        <f t="shared" si="0"/>
        <v>7669</v>
      </c>
      <c r="J45" s="36">
        <f t="shared" si="1"/>
        <v>0</v>
      </c>
      <c r="K45" s="48" t="s">
        <v>14</v>
      </c>
      <c r="L45" s="48" t="s">
        <v>15</v>
      </c>
      <c r="M45" s="38">
        <v>42916</v>
      </c>
      <c r="N45" s="48"/>
      <c r="O45" s="35">
        <v>7669</v>
      </c>
      <c r="P45" s="35"/>
      <c r="Q45" s="35"/>
      <c r="R45" s="35"/>
      <c r="S45" s="58"/>
      <c r="T45" s="58"/>
    </row>
    <row r="46" spans="1:20" s="15" customFormat="1" ht="26.25" customHeight="1" x14ac:dyDescent="0.2">
      <c r="A46" s="43" t="s">
        <v>608</v>
      </c>
      <c r="B46" s="46" t="s">
        <v>92</v>
      </c>
      <c r="C46" s="44" t="s">
        <v>29</v>
      </c>
      <c r="D46" s="54" t="s">
        <v>614</v>
      </c>
      <c r="E46" s="46" t="s">
        <v>617</v>
      </c>
      <c r="F46" s="35">
        <v>20000</v>
      </c>
      <c r="G46" s="35">
        <v>79260</v>
      </c>
      <c r="H46" s="35">
        <v>20000</v>
      </c>
      <c r="I46" s="35">
        <f t="shared" si="0"/>
        <v>99260</v>
      </c>
      <c r="J46" s="36">
        <f t="shared" si="1"/>
        <v>0.25233409033560433</v>
      </c>
      <c r="K46" s="48" t="s">
        <v>14</v>
      </c>
      <c r="L46" s="48" t="s">
        <v>14</v>
      </c>
      <c r="M46" s="38">
        <v>42916</v>
      </c>
      <c r="N46" s="48" t="s">
        <v>28</v>
      </c>
      <c r="O46" s="35">
        <v>20000</v>
      </c>
      <c r="P46" s="35"/>
      <c r="Q46" s="35"/>
      <c r="R46" s="35"/>
      <c r="S46" s="58"/>
      <c r="T46" s="58"/>
    </row>
    <row r="47" spans="1:20" s="15" customFormat="1" ht="26.25" customHeight="1" x14ac:dyDescent="0.2">
      <c r="A47" s="43" t="s">
        <v>110</v>
      </c>
      <c r="B47" s="46" t="s">
        <v>92</v>
      </c>
      <c r="C47" s="44" t="s">
        <v>50</v>
      </c>
      <c r="D47" s="47">
        <v>12884</v>
      </c>
      <c r="E47" s="46" t="s">
        <v>142</v>
      </c>
      <c r="F47" s="35">
        <v>37739</v>
      </c>
      <c r="G47" s="35">
        <v>37739</v>
      </c>
      <c r="H47" s="35">
        <v>0</v>
      </c>
      <c r="I47" s="49">
        <f t="shared" si="0"/>
        <v>37739</v>
      </c>
      <c r="J47" s="51">
        <f t="shared" si="1"/>
        <v>0</v>
      </c>
      <c r="K47" s="48" t="s">
        <v>14</v>
      </c>
      <c r="L47" s="48" t="s">
        <v>15</v>
      </c>
      <c r="M47" s="38">
        <v>42916</v>
      </c>
      <c r="N47" s="48"/>
      <c r="O47" s="35">
        <v>37739</v>
      </c>
      <c r="P47" s="35"/>
      <c r="Q47" s="35"/>
      <c r="R47" s="35"/>
      <c r="S47" s="58"/>
      <c r="T47" s="58"/>
    </row>
    <row r="48" spans="1:20" s="15" customFormat="1" ht="26.25" customHeight="1" x14ac:dyDescent="0.2">
      <c r="A48" s="43" t="s">
        <v>911</v>
      </c>
      <c r="B48" s="46" t="s">
        <v>92</v>
      </c>
      <c r="C48" s="44" t="s">
        <v>913</v>
      </c>
      <c r="D48" s="54" t="s">
        <v>914</v>
      </c>
      <c r="E48" s="46" t="s">
        <v>915</v>
      </c>
      <c r="F48" s="35">
        <v>6000</v>
      </c>
      <c r="G48" s="35">
        <v>90000</v>
      </c>
      <c r="H48" s="35">
        <f>5000+90000+6000</f>
        <v>101000</v>
      </c>
      <c r="I48" s="35">
        <f t="shared" si="0"/>
        <v>191000</v>
      </c>
      <c r="J48" s="36">
        <f t="shared" si="1"/>
        <v>1.1222222222222222</v>
      </c>
      <c r="K48" s="48" t="s">
        <v>14</v>
      </c>
      <c r="L48" s="48" t="s">
        <v>14</v>
      </c>
      <c r="M48" s="38">
        <v>42916</v>
      </c>
      <c r="N48" s="48" t="s">
        <v>28</v>
      </c>
      <c r="O48" s="35">
        <v>6000</v>
      </c>
      <c r="P48" s="35"/>
      <c r="Q48" s="35"/>
      <c r="R48" s="35"/>
      <c r="S48" s="58"/>
      <c r="T48" s="58"/>
    </row>
    <row r="49" spans="1:20" s="15" customFormat="1" ht="26.25" customHeight="1" x14ac:dyDescent="0.2">
      <c r="A49" s="43" t="s">
        <v>544</v>
      </c>
      <c r="B49" s="46" t="s">
        <v>92</v>
      </c>
      <c r="C49" s="44" t="s">
        <v>555</v>
      </c>
      <c r="D49" s="47">
        <v>13662</v>
      </c>
      <c r="E49" s="46" t="s">
        <v>564</v>
      </c>
      <c r="F49" s="35">
        <v>9800</v>
      </c>
      <c r="G49" s="35">
        <v>9800</v>
      </c>
      <c r="H49" s="35">
        <v>0</v>
      </c>
      <c r="I49" s="35">
        <f t="shared" si="0"/>
        <v>9800</v>
      </c>
      <c r="J49" s="36">
        <f t="shared" si="1"/>
        <v>0</v>
      </c>
      <c r="K49" s="48" t="s">
        <v>14</v>
      </c>
      <c r="L49" s="48" t="s">
        <v>14</v>
      </c>
      <c r="M49" s="38">
        <v>42916</v>
      </c>
      <c r="N49" s="48"/>
      <c r="O49" s="35">
        <v>9800</v>
      </c>
      <c r="P49" s="35"/>
      <c r="Q49" s="35"/>
      <c r="R49" s="35"/>
      <c r="S49" s="58"/>
      <c r="T49" s="58"/>
    </row>
    <row r="50" spans="1:20" s="15" customFormat="1" ht="26.25" customHeight="1" x14ac:dyDescent="0.2">
      <c r="A50" s="43" t="s">
        <v>841</v>
      </c>
      <c r="B50" s="46" t="s">
        <v>92</v>
      </c>
      <c r="C50" s="44" t="s">
        <v>849</v>
      </c>
      <c r="D50" s="54" t="s">
        <v>850</v>
      </c>
      <c r="E50" s="46" t="s">
        <v>857</v>
      </c>
      <c r="F50" s="35">
        <v>29000</v>
      </c>
      <c r="G50" s="35">
        <v>70000</v>
      </c>
      <c r="H50" s="35">
        <f>25000+70000+29000</f>
        <v>124000</v>
      </c>
      <c r="I50" s="35">
        <f t="shared" si="0"/>
        <v>194000</v>
      </c>
      <c r="J50" s="36">
        <f t="shared" si="1"/>
        <v>1.7714285714285714</v>
      </c>
      <c r="K50" s="48" t="s">
        <v>14</v>
      </c>
      <c r="L50" s="48" t="s">
        <v>14</v>
      </c>
      <c r="M50" s="38">
        <v>42916</v>
      </c>
      <c r="N50" s="48" t="s">
        <v>28</v>
      </c>
      <c r="O50" s="35">
        <v>29000</v>
      </c>
      <c r="P50" s="35"/>
      <c r="Q50" s="35"/>
      <c r="R50" s="35"/>
      <c r="S50" s="58"/>
      <c r="T50" s="58"/>
    </row>
    <row r="51" spans="1:20" s="15" customFormat="1" ht="26.25" customHeight="1" x14ac:dyDescent="0.2">
      <c r="A51" s="43" t="s">
        <v>1136</v>
      </c>
      <c r="B51" s="46" t="s">
        <v>1140</v>
      </c>
      <c r="C51" s="44" t="s">
        <v>1142</v>
      </c>
      <c r="D51" s="47">
        <v>14786</v>
      </c>
      <c r="E51" s="46" t="s">
        <v>1146</v>
      </c>
      <c r="F51" s="35">
        <f>6000*3</f>
        <v>18000</v>
      </c>
      <c r="G51" s="35">
        <f>6000*3</f>
        <v>18000</v>
      </c>
      <c r="H51" s="35">
        <v>0</v>
      </c>
      <c r="I51" s="35">
        <f t="shared" si="0"/>
        <v>18000</v>
      </c>
      <c r="J51" s="36">
        <f t="shared" si="1"/>
        <v>0</v>
      </c>
      <c r="K51" s="48" t="s">
        <v>14</v>
      </c>
      <c r="L51" s="48" t="s">
        <v>14</v>
      </c>
      <c r="M51" s="38">
        <v>43281</v>
      </c>
      <c r="N51" s="48" t="s">
        <v>18</v>
      </c>
      <c r="O51" s="35"/>
      <c r="P51" s="35">
        <v>6000</v>
      </c>
      <c r="Q51" s="35">
        <v>6000</v>
      </c>
      <c r="R51" s="35">
        <v>6000</v>
      </c>
      <c r="S51" s="58"/>
      <c r="T51" s="58"/>
    </row>
    <row r="52" spans="1:20" s="15" customFormat="1" ht="26.25" customHeight="1" x14ac:dyDescent="0.2">
      <c r="A52" s="43" t="s">
        <v>238</v>
      </c>
      <c r="B52" s="46" t="s">
        <v>62</v>
      </c>
      <c r="C52" s="44" t="s">
        <v>259</v>
      </c>
      <c r="D52" s="54">
        <v>13100</v>
      </c>
      <c r="E52" s="46" t="s">
        <v>274</v>
      </c>
      <c r="F52" s="35">
        <v>24350</v>
      </c>
      <c r="G52" s="35">
        <v>24350</v>
      </c>
      <c r="H52" s="35">
        <v>0</v>
      </c>
      <c r="I52" s="35">
        <f t="shared" si="0"/>
        <v>24350</v>
      </c>
      <c r="J52" s="36">
        <f t="shared" si="1"/>
        <v>0</v>
      </c>
      <c r="K52" s="48" t="s">
        <v>14</v>
      </c>
      <c r="L52" s="48" t="s">
        <v>14</v>
      </c>
      <c r="M52" s="38">
        <v>42916</v>
      </c>
      <c r="N52" s="48"/>
      <c r="O52" s="35">
        <v>24350</v>
      </c>
      <c r="P52" s="35"/>
      <c r="Q52" s="35"/>
      <c r="R52" s="35"/>
      <c r="S52" s="58"/>
      <c r="T52" s="58"/>
    </row>
    <row r="53" spans="1:20" s="15" customFormat="1" ht="26.25" customHeight="1" x14ac:dyDescent="0.2">
      <c r="A53" s="43" t="s">
        <v>527</v>
      </c>
      <c r="B53" s="46" t="s">
        <v>62</v>
      </c>
      <c r="C53" s="44" t="s">
        <v>534</v>
      </c>
      <c r="D53" s="47">
        <v>13346</v>
      </c>
      <c r="E53" s="46" t="s">
        <v>541</v>
      </c>
      <c r="F53" s="35">
        <v>24920</v>
      </c>
      <c r="G53" s="35">
        <v>24920</v>
      </c>
      <c r="H53" s="35">
        <v>0</v>
      </c>
      <c r="I53" s="35">
        <f t="shared" si="0"/>
        <v>24920</v>
      </c>
      <c r="J53" s="36">
        <f t="shared" si="1"/>
        <v>0</v>
      </c>
      <c r="K53" s="48" t="s">
        <v>14</v>
      </c>
      <c r="L53" s="48" t="s">
        <v>14</v>
      </c>
      <c r="M53" s="38">
        <v>42916</v>
      </c>
      <c r="N53" s="48"/>
      <c r="O53" s="35">
        <v>24920</v>
      </c>
      <c r="P53" s="35"/>
      <c r="Q53" s="35"/>
      <c r="R53" s="35"/>
      <c r="S53" s="58"/>
      <c r="T53" s="58"/>
    </row>
    <row r="54" spans="1:20" s="15" customFormat="1" ht="18" customHeight="1" x14ac:dyDescent="0.2">
      <c r="A54" s="43" t="s">
        <v>584</v>
      </c>
      <c r="B54" s="46" t="s">
        <v>62</v>
      </c>
      <c r="C54" s="44" t="s">
        <v>534</v>
      </c>
      <c r="D54" s="47">
        <v>13343</v>
      </c>
      <c r="E54" s="46" t="s">
        <v>670</v>
      </c>
      <c r="F54" s="35">
        <v>68737</v>
      </c>
      <c r="G54" s="35">
        <v>68737</v>
      </c>
      <c r="H54" s="35">
        <v>0</v>
      </c>
      <c r="I54" s="35">
        <f t="shared" si="0"/>
        <v>68737</v>
      </c>
      <c r="J54" s="36">
        <f t="shared" si="1"/>
        <v>0</v>
      </c>
      <c r="K54" s="48" t="s">
        <v>14</v>
      </c>
      <c r="L54" s="48" t="s">
        <v>14</v>
      </c>
      <c r="M54" s="38">
        <v>42916</v>
      </c>
      <c r="N54" s="48"/>
      <c r="O54" s="35">
        <v>68737</v>
      </c>
      <c r="P54" s="35"/>
      <c r="Q54" s="35"/>
      <c r="R54" s="35"/>
      <c r="S54" s="58"/>
      <c r="T54" s="58"/>
    </row>
    <row r="55" spans="1:20" s="15" customFormat="1" ht="26.25" customHeight="1" x14ac:dyDescent="0.2">
      <c r="A55" s="43" t="s">
        <v>306</v>
      </c>
      <c r="B55" s="46" t="s">
        <v>62</v>
      </c>
      <c r="C55" s="44" t="s">
        <v>316</v>
      </c>
      <c r="D55" s="47">
        <v>13257</v>
      </c>
      <c r="E55" s="46" t="s">
        <v>329</v>
      </c>
      <c r="F55" s="35">
        <v>12850</v>
      </c>
      <c r="G55" s="35">
        <v>12850</v>
      </c>
      <c r="H55" s="35">
        <v>0</v>
      </c>
      <c r="I55" s="35">
        <f t="shared" si="0"/>
        <v>12850</v>
      </c>
      <c r="J55" s="36">
        <f t="shared" si="1"/>
        <v>0</v>
      </c>
      <c r="K55" s="48" t="s">
        <v>14</v>
      </c>
      <c r="L55" s="48" t="s">
        <v>14</v>
      </c>
      <c r="M55" s="38">
        <v>42916</v>
      </c>
      <c r="N55" s="48"/>
      <c r="O55" s="35">
        <v>12850</v>
      </c>
      <c r="P55" s="35"/>
      <c r="Q55" s="35"/>
      <c r="R55" s="35"/>
      <c r="S55" s="58"/>
      <c r="T55" s="58"/>
    </row>
    <row r="56" spans="1:20" s="15" customFormat="1" ht="26.25" customHeight="1" x14ac:dyDescent="0.2">
      <c r="A56" s="43" t="s">
        <v>300</v>
      </c>
      <c r="B56" s="46" t="s">
        <v>62</v>
      </c>
      <c r="C56" s="44" t="s">
        <v>72</v>
      </c>
      <c r="D56" s="54" t="s">
        <v>321</v>
      </c>
      <c r="E56" s="46" t="s">
        <v>73</v>
      </c>
      <c r="F56" s="35">
        <v>391</v>
      </c>
      <c r="G56" s="35">
        <v>14324</v>
      </c>
      <c r="H56" s="35">
        <v>391</v>
      </c>
      <c r="I56" s="35">
        <f t="shared" si="0"/>
        <v>14715</v>
      </c>
      <c r="J56" s="36">
        <f t="shared" si="1"/>
        <v>2.7296844456855627E-2</v>
      </c>
      <c r="K56" s="48" t="s">
        <v>14</v>
      </c>
      <c r="L56" s="48" t="s">
        <v>14</v>
      </c>
      <c r="M56" s="38">
        <v>42483</v>
      </c>
      <c r="N56" s="48" t="s">
        <v>28</v>
      </c>
      <c r="O56" s="35">
        <v>391</v>
      </c>
      <c r="P56" s="35"/>
      <c r="Q56" s="35"/>
      <c r="R56" s="35"/>
      <c r="S56" s="58"/>
      <c r="T56" s="58"/>
    </row>
    <row r="57" spans="1:20" s="15" customFormat="1" ht="26.25" customHeight="1" x14ac:dyDescent="0.2">
      <c r="A57" s="43" t="s">
        <v>239</v>
      </c>
      <c r="B57" s="46" t="s">
        <v>62</v>
      </c>
      <c r="C57" s="44" t="s">
        <v>260</v>
      </c>
      <c r="D57" s="47">
        <v>13123</v>
      </c>
      <c r="E57" s="46" t="s">
        <v>275</v>
      </c>
      <c r="F57" s="35">
        <v>5000</v>
      </c>
      <c r="G57" s="35">
        <v>4800</v>
      </c>
      <c r="H57" s="35">
        <v>5000</v>
      </c>
      <c r="I57" s="35">
        <f t="shared" si="0"/>
        <v>9800</v>
      </c>
      <c r="J57" s="36">
        <f t="shared" si="1"/>
        <v>1.0416666666666667</v>
      </c>
      <c r="K57" s="48" t="s">
        <v>14</v>
      </c>
      <c r="L57" s="48" t="s">
        <v>14</v>
      </c>
      <c r="M57" s="38">
        <v>42916</v>
      </c>
      <c r="N57" s="48" t="s">
        <v>28</v>
      </c>
      <c r="O57" s="35">
        <v>5000</v>
      </c>
      <c r="P57" s="35"/>
      <c r="Q57" s="35"/>
      <c r="R57" s="35"/>
      <c r="S57" s="58"/>
      <c r="T57" s="58"/>
    </row>
    <row r="58" spans="1:20" s="15" customFormat="1" ht="26.25" customHeight="1" x14ac:dyDescent="0.2">
      <c r="A58" s="43" t="s">
        <v>463</v>
      </c>
      <c r="B58" s="46" t="s">
        <v>62</v>
      </c>
      <c r="C58" s="44" t="s">
        <v>478</v>
      </c>
      <c r="D58" s="47">
        <v>13560</v>
      </c>
      <c r="E58" s="46" t="s">
        <v>490</v>
      </c>
      <c r="F58" s="35">
        <v>12500</v>
      </c>
      <c r="G58" s="35">
        <v>12500</v>
      </c>
      <c r="H58" s="35">
        <v>0</v>
      </c>
      <c r="I58" s="35">
        <f t="shared" si="0"/>
        <v>12500</v>
      </c>
      <c r="J58" s="36">
        <f t="shared" si="1"/>
        <v>0</v>
      </c>
      <c r="K58" s="48" t="s">
        <v>14</v>
      </c>
      <c r="L58" s="48" t="s">
        <v>15</v>
      </c>
      <c r="M58" s="38">
        <v>42916</v>
      </c>
      <c r="N58" s="48"/>
      <c r="O58" s="35">
        <v>12500</v>
      </c>
      <c r="P58" s="35"/>
      <c r="Q58" s="35"/>
      <c r="R58" s="35"/>
      <c r="S58" s="58"/>
      <c r="T58" s="58"/>
    </row>
    <row r="59" spans="1:20" s="15" customFormat="1" ht="26.25" customHeight="1" x14ac:dyDescent="0.2">
      <c r="A59" s="43" t="s">
        <v>237</v>
      </c>
      <c r="B59" s="46" t="s">
        <v>62</v>
      </c>
      <c r="C59" s="44" t="s">
        <v>258</v>
      </c>
      <c r="D59" s="47">
        <v>13092</v>
      </c>
      <c r="E59" s="46" t="s">
        <v>392</v>
      </c>
      <c r="F59" s="35">
        <v>15000</v>
      </c>
      <c r="G59" s="35">
        <v>5000</v>
      </c>
      <c r="H59" s="35">
        <f>106900+15000</f>
        <v>121900</v>
      </c>
      <c r="I59" s="35">
        <f t="shared" si="0"/>
        <v>126900</v>
      </c>
      <c r="J59" s="36">
        <f t="shared" si="1"/>
        <v>24.38</v>
      </c>
      <c r="K59" s="48" t="s">
        <v>14</v>
      </c>
      <c r="L59" s="48" t="s">
        <v>14</v>
      </c>
      <c r="M59" s="38">
        <v>42734</v>
      </c>
      <c r="N59" s="48" t="s">
        <v>28</v>
      </c>
      <c r="O59" s="35">
        <v>15000</v>
      </c>
      <c r="P59" s="35"/>
      <c r="Q59" s="35"/>
      <c r="R59" s="35"/>
      <c r="S59" s="58"/>
      <c r="T59" s="58"/>
    </row>
    <row r="60" spans="1:20" s="15" customFormat="1" ht="26.25" customHeight="1" x14ac:dyDescent="0.2">
      <c r="A60" s="43" t="s">
        <v>887</v>
      </c>
      <c r="B60" s="46" t="s">
        <v>62</v>
      </c>
      <c r="C60" s="44" t="s">
        <v>891</v>
      </c>
      <c r="D60" s="47">
        <v>14229</v>
      </c>
      <c r="E60" s="46" t="s">
        <v>894</v>
      </c>
      <c r="F60" s="35">
        <v>60000</v>
      </c>
      <c r="G60" s="35">
        <v>60000</v>
      </c>
      <c r="H60" s="35">
        <v>0</v>
      </c>
      <c r="I60" s="35">
        <f t="shared" si="0"/>
        <v>60000</v>
      </c>
      <c r="J60" s="36">
        <f t="shared" si="1"/>
        <v>0</v>
      </c>
      <c r="K60" s="48" t="s">
        <v>14</v>
      </c>
      <c r="L60" s="48" t="s">
        <v>14</v>
      </c>
      <c r="M60" s="38">
        <v>42960</v>
      </c>
      <c r="N60" s="48"/>
      <c r="O60" s="35">
        <v>60000</v>
      </c>
      <c r="P60" s="35"/>
      <c r="Q60" s="35"/>
      <c r="R60" s="35"/>
      <c r="S60" s="58"/>
      <c r="T60" s="58"/>
    </row>
    <row r="61" spans="1:20" s="15" customFormat="1" ht="18" customHeight="1" x14ac:dyDescent="0.2">
      <c r="A61" s="43" t="s">
        <v>945</v>
      </c>
      <c r="B61" s="46" t="s">
        <v>372</v>
      </c>
      <c r="C61" s="44" t="s">
        <v>960</v>
      </c>
      <c r="D61" s="47">
        <v>14434</v>
      </c>
      <c r="E61" s="46" t="s">
        <v>969</v>
      </c>
      <c r="F61" s="35">
        <f>84000*3</f>
        <v>252000</v>
      </c>
      <c r="G61" s="35">
        <f>84000*3</f>
        <v>252000</v>
      </c>
      <c r="H61" s="35">
        <v>0</v>
      </c>
      <c r="I61" s="35">
        <f t="shared" si="0"/>
        <v>252000</v>
      </c>
      <c r="J61" s="36">
        <f t="shared" si="1"/>
        <v>0</v>
      </c>
      <c r="K61" s="48" t="s">
        <v>14</v>
      </c>
      <c r="L61" s="48" t="s">
        <v>15</v>
      </c>
      <c r="M61" s="38">
        <v>43210</v>
      </c>
      <c r="N61" s="48" t="s">
        <v>18</v>
      </c>
      <c r="O61" s="35">
        <v>84000</v>
      </c>
      <c r="P61" s="35">
        <v>84000</v>
      </c>
      <c r="Q61" s="35">
        <v>84000</v>
      </c>
      <c r="R61" s="35"/>
      <c r="S61" s="58"/>
      <c r="T61" s="58"/>
    </row>
    <row r="62" spans="1:20" s="15" customFormat="1" ht="26.25" customHeight="1" x14ac:dyDescent="0.2">
      <c r="A62" s="43" t="s">
        <v>367</v>
      </c>
      <c r="B62" s="46" t="s">
        <v>372</v>
      </c>
      <c r="C62" s="44" t="s">
        <v>376</v>
      </c>
      <c r="D62" s="47">
        <v>13306</v>
      </c>
      <c r="E62" s="46" t="s">
        <v>382</v>
      </c>
      <c r="F62" s="35">
        <f>13098*2</f>
        <v>26196</v>
      </c>
      <c r="G62" s="35">
        <f>13098*2</f>
        <v>26196</v>
      </c>
      <c r="H62" s="35">
        <v>0</v>
      </c>
      <c r="I62" s="35">
        <f t="shared" si="0"/>
        <v>26196</v>
      </c>
      <c r="J62" s="36">
        <f t="shared" si="1"/>
        <v>0</v>
      </c>
      <c r="K62" s="48" t="s">
        <v>14</v>
      </c>
      <c r="L62" s="48" t="s">
        <v>14</v>
      </c>
      <c r="M62" s="38">
        <v>42916</v>
      </c>
      <c r="N62" s="48" t="s">
        <v>18</v>
      </c>
      <c r="O62" s="35">
        <v>13098</v>
      </c>
      <c r="P62" s="35">
        <v>13098</v>
      </c>
      <c r="Q62" s="35"/>
      <c r="R62" s="35"/>
      <c r="S62" s="58"/>
      <c r="T62" s="58"/>
    </row>
    <row r="63" spans="1:20" s="15" customFormat="1" ht="26.25" customHeight="1" x14ac:dyDescent="0.2">
      <c r="A63" s="43" t="s">
        <v>409</v>
      </c>
      <c r="B63" s="46" t="s">
        <v>372</v>
      </c>
      <c r="C63" s="44" t="s">
        <v>376</v>
      </c>
      <c r="D63" s="47">
        <v>13487</v>
      </c>
      <c r="E63" s="46" t="s">
        <v>414</v>
      </c>
      <c r="F63" s="35">
        <v>99000</v>
      </c>
      <c r="G63" s="35">
        <v>99000</v>
      </c>
      <c r="H63" s="35">
        <v>0</v>
      </c>
      <c r="I63" s="35">
        <f t="shared" si="0"/>
        <v>99000</v>
      </c>
      <c r="J63" s="36">
        <f t="shared" si="1"/>
        <v>0</v>
      </c>
      <c r="K63" s="48" t="s">
        <v>14</v>
      </c>
      <c r="L63" s="48" t="s">
        <v>14</v>
      </c>
      <c r="M63" s="38">
        <v>42916</v>
      </c>
      <c r="N63" s="48"/>
      <c r="O63" s="35">
        <v>99000</v>
      </c>
      <c r="P63" s="35"/>
      <c r="Q63" s="35"/>
      <c r="R63" s="35"/>
      <c r="S63" s="58"/>
      <c r="T63" s="58"/>
    </row>
    <row r="64" spans="1:20" s="15" customFormat="1" ht="26.25" customHeight="1" x14ac:dyDescent="0.2">
      <c r="A64" s="43" t="s">
        <v>194</v>
      </c>
      <c r="B64" s="46" t="s">
        <v>199</v>
      </c>
      <c r="C64" s="44" t="s">
        <v>206</v>
      </c>
      <c r="D64" s="34">
        <v>13022</v>
      </c>
      <c r="E64" s="46" t="s">
        <v>225</v>
      </c>
      <c r="F64" s="35">
        <f>98880*3</f>
        <v>296640</v>
      </c>
      <c r="G64" s="35">
        <f>98880*3</f>
        <v>296640</v>
      </c>
      <c r="H64" s="35">
        <v>0</v>
      </c>
      <c r="I64" s="35">
        <f t="shared" si="0"/>
        <v>296640</v>
      </c>
      <c r="J64" s="36">
        <f t="shared" si="1"/>
        <v>0</v>
      </c>
      <c r="K64" s="48" t="s">
        <v>14</v>
      </c>
      <c r="L64" s="48" t="s">
        <v>14</v>
      </c>
      <c r="M64" s="38">
        <v>42916</v>
      </c>
      <c r="N64" s="48" t="s">
        <v>18</v>
      </c>
      <c r="O64" s="35">
        <f>98880</f>
        <v>98880</v>
      </c>
      <c r="P64" s="35">
        <f>98880</f>
        <v>98880</v>
      </c>
      <c r="Q64" s="35">
        <f>98880</f>
        <v>98880</v>
      </c>
      <c r="R64" s="35"/>
      <c r="S64" s="58"/>
      <c r="T64" s="58"/>
    </row>
    <row r="65" spans="1:20" s="15" customFormat="1" ht="26.25" customHeight="1" x14ac:dyDescent="0.2">
      <c r="A65" s="43" t="s">
        <v>251</v>
      </c>
      <c r="B65" s="46" t="s">
        <v>252</v>
      </c>
      <c r="C65" s="44" t="s">
        <v>268</v>
      </c>
      <c r="D65" s="47">
        <v>13274</v>
      </c>
      <c r="E65" s="46" t="s">
        <v>285</v>
      </c>
      <c r="F65" s="35">
        <v>31985</v>
      </c>
      <c r="G65" s="35">
        <v>31985</v>
      </c>
      <c r="H65" s="35">
        <v>0</v>
      </c>
      <c r="I65" s="35">
        <f t="shared" si="0"/>
        <v>31985</v>
      </c>
      <c r="J65" s="36">
        <f t="shared" si="1"/>
        <v>0</v>
      </c>
      <c r="K65" s="48" t="s">
        <v>14</v>
      </c>
      <c r="L65" s="48" t="s">
        <v>15</v>
      </c>
      <c r="M65" s="38">
        <v>42674</v>
      </c>
      <c r="N65" s="48"/>
      <c r="O65" s="35">
        <v>31985</v>
      </c>
      <c r="P65" s="35"/>
      <c r="Q65" s="35"/>
      <c r="R65" s="35"/>
      <c r="S65" s="58"/>
      <c r="T65" s="58"/>
    </row>
    <row r="66" spans="1:20" s="15" customFormat="1" ht="26.25" customHeight="1" x14ac:dyDescent="0.2">
      <c r="A66" s="43" t="s">
        <v>765</v>
      </c>
      <c r="B66" s="46" t="s">
        <v>767</v>
      </c>
      <c r="C66" s="44" t="s">
        <v>776</v>
      </c>
      <c r="D66" s="47">
        <v>14068</v>
      </c>
      <c r="E66" s="46" t="s">
        <v>791</v>
      </c>
      <c r="F66" s="35">
        <v>7500</v>
      </c>
      <c r="G66" s="35">
        <v>7500</v>
      </c>
      <c r="H66" s="35">
        <v>0</v>
      </c>
      <c r="I66" s="35">
        <f t="shared" ref="I66:I129" si="2">G66+H66</f>
        <v>7500</v>
      </c>
      <c r="J66" s="36">
        <f t="shared" ref="J66:J129" si="3">IF(G66=0,100%,(I66-G66)/G66)</f>
        <v>0</v>
      </c>
      <c r="K66" s="48" t="s">
        <v>14</v>
      </c>
      <c r="L66" s="48" t="s">
        <v>14</v>
      </c>
      <c r="M66" s="38">
        <v>42916</v>
      </c>
      <c r="N66" s="48"/>
      <c r="O66" s="35">
        <v>7500</v>
      </c>
      <c r="P66" s="35"/>
      <c r="Q66" s="35"/>
      <c r="R66" s="35"/>
      <c r="S66" s="58"/>
      <c r="T66" s="58"/>
    </row>
    <row r="67" spans="1:20" s="15" customFormat="1" ht="26.25" customHeight="1" x14ac:dyDescent="0.2">
      <c r="A67" s="43" t="s">
        <v>736</v>
      </c>
      <c r="B67" s="46" t="s">
        <v>738</v>
      </c>
      <c r="C67" s="44" t="s">
        <v>742</v>
      </c>
      <c r="D67" s="47">
        <v>13992</v>
      </c>
      <c r="E67" s="46" t="s">
        <v>750</v>
      </c>
      <c r="F67" s="35">
        <v>96000</v>
      </c>
      <c r="G67" s="35">
        <v>96000</v>
      </c>
      <c r="H67" s="35">
        <v>0</v>
      </c>
      <c r="I67" s="35">
        <f t="shared" si="2"/>
        <v>96000</v>
      </c>
      <c r="J67" s="36">
        <f t="shared" si="3"/>
        <v>0</v>
      </c>
      <c r="K67" s="48" t="s">
        <v>14</v>
      </c>
      <c r="L67" s="48" t="s">
        <v>14</v>
      </c>
      <c r="M67" s="38">
        <v>43099</v>
      </c>
      <c r="N67" s="48"/>
      <c r="O67" s="35">
        <v>96000</v>
      </c>
      <c r="P67" s="35"/>
      <c r="Q67" s="35"/>
      <c r="R67" s="35"/>
      <c r="S67" s="58"/>
      <c r="T67" s="58"/>
    </row>
    <row r="68" spans="1:20" s="15" customFormat="1" ht="26.25" customHeight="1" x14ac:dyDescent="0.2">
      <c r="A68" s="43" t="s">
        <v>1115</v>
      </c>
      <c r="B68" s="46" t="s">
        <v>17</v>
      </c>
      <c r="C68" s="44" t="s">
        <v>1120</v>
      </c>
      <c r="D68" s="47">
        <v>14629</v>
      </c>
      <c r="E68" s="46" t="s">
        <v>1125</v>
      </c>
      <c r="F68" s="35">
        <v>24400</v>
      </c>
      <c r="G68" s="35">
        <v>24400</v>
      </c>
      <c r="H68" s="35">
        <v>0</v>
      </c>
      <c r="I68" s="35">
        <f t="shared" si="2"/>
        <v>24400</v>
      </c>
      <c r="J68" s="36">
        <f t="shared" si="3"/>
        <v>0</v>
      </c>
      <c r="K68" s="48" t="s">
        <v>14</v>
      </c>
      <c r="L68" s="48" t="s">
        <v>14</v>
      </c>
      <c r="M68" s="38">
        <v>43281</v>
      </c>
      <c r="N68" s="48"/>
      <c r="O68" s="35">
        <v>24400</v>
      </c>
      <c r="P68" s="35"/>
      <c r="Q68" s="35"/>
      <c r="R68" s="35"/>
      <c r="S68" s="58"/>
      <c r="T68" s="58"/>
    </row>
    <row r="69" spans="1:20" s="15" customFormat="1" ht="26.25" customHeight="1" x14ac:dyDescent="0.2">
      <c r="A69" s="43" t="s">
        <v>688</v>
      </c>
      <c r="B69" s="46" t="s">
        <v>17</v>
      </c>
      <c r="C69" s="44" t="s">
        <v>693</v>
      </c>
      <c r="D69" s="54" t="s">
        <v>696</v>
      </c>
      <c r="E69" s="46" t="s">
        <v>699</v>
      </c>
      <c r="F69" s="35">
        <v>5000</v>
      </c>
      <c r="G69" s="35">
        <v>25000</v>
      </c>
      <c r="H69" s="35">
        <v>5000</v>
      </c>
      <c r="I69" s="35">
        <f t="shared" si="2"/>
        <v>30000</v>
      </c>
      <c r="J69" s="36">
        <f t="shared" si="3"/>
        <v>0.2</v>
      </c>
      <c r="K69" s="48" t="s">
        <v>14</v>
      </c>
      <c r="L69" s="48" t="s">
        <v>14</v>
      </c>
      <c r="M69" s="38">
        <v>42916</v>
      </c>
      <c r="N69" s="48" t="s">
        <v>28</v>
      </c>
      <c r="O69" s="35">
        <v>5000</v>
      </c>
      <c r="P69" s="35"/>
      <c r="Q69" s="35"/>
      <c r="R69" s="35"/>
      <c r="S69" s="58"/>
      <c r="T69" s="58"/>
    </row>
    <row r="70" spans="1:20" s="15" customFormat="1" ht="26.25" customHeight="1" x14ac:dyDescent="0.2">
      <c r="A70" s="43" t="s">
        <v>305</v>
      </c>
      <c r="B70" s="46" t="s">
        <v>17</v>
      </c>
      <c r="C70" s="44" t="s">
        <v>315</v>
      </c>
      <c r="D70" s="47">
        <v>13241</v>
      </c>
      <c r="E70" s="46" t="s">
        <v>328</v>
      </c>
      <c r="F70" s="35">
        <f>15000*3</f>
        <v>45000</v>
      </c>
      <c r="G70" s="35">
        <f>15000*3</f>
        <v>45000</v>
      </c>
      <c r="H70" s="35">
        <v>0</v>
      </c>
      <c r="I70" s="35">
        <f t="shared" si="2"/>
        <v>45000</v>
      </c>
      <c r="J70" s="36">
        <f t="shared" si="3"/>
        <v>0</v>
      </c>
      <c r="K70" s="48" t="s">
        <v>14</v>
      </c>
      <c r="L70" s="48" t="s">
        <v>15</v>
      </c>
      <c r="M70" s="38">
        <v>42916</v>
      </c>
      <c r="N70" s="48" t="s">
        <v>18</v>
      </c>
      <c r="O70" s="35">
        <v>15000</v>
      </c>
      <c r="P70" s="35">
        <v>15000</v>
      </c>
      <c r="Q70" s="35">
        <v>15000</v>
      </c>
      <c r="R70" s="35"/>
      <c r="S70" s="58"/>
      <c r="T70" s="58"/>
    </row>
    <row r="71" spans="1:20" s="15" customFormat="1" ht="26.25" customHeight="1" x14ac:dyDescent="0.2">
      <c r="A71" s="43" t="s">
        <v>312</v>
      </c>
      <c r="B71" s="46" t="s">
        <v>17</v>
      </c>
      <c r="C71" s="44" t="s">
        <v>320</v>
      </c>
      <c r="D71" s="54">
        <v>13351</v>
      </c>
      <c r="E71" s="46" t="s">
        <v>333</v>
      </c>
      <c r="F71" s="35">
        <f>15500*2</f>
        <v>31000</v>
      </c>
      <c r="G71" s="35">
        <f>15500*2</f>
        <v>31000</v>
      </c>
      <c r="H71" s="35">
        <v>0</v>
      </c>
      <c r="I71" s="35">
        <f t="shared" si="2"/>
        <v>31000</v>
      </c>
      <c r="J71" s="36">
        <f t="shared" si="3"/>
        <v>0</v>
      </c>
      <c r="K71" s="48" t="s">
        <v>14</v>
      </c>
      <c r="L71" s="48" t="s">
        <v>14</v>
      </c>
      <c r="M71" s="38">
        <v>42916</v>
      </c>
      <c r="N71" s="48" t="s">
        <v>18</v>
      </c>
      <c r="O71" s="35">
        <v>15500</v>
      </c>
      <c r="P71" s="35">
        <v>15500</v>
      </c>
      <c r="Q71" s="35"/>
      <c r="R71" s="35"/>
      <c r="S71" s="58"/>
      <c r="T71" s="58"/>
    </row>
    <row r="72" spans="1:20" s="15" customFormat="1" ht="26.25" customHeight="1" x14ac:dyDescent="0.2">
      <c r="A72" s="43" t="s">
        <v>163</v>
      </c>
      <c r="B72" s="46" t="s">
        <v>17</v>
      </c>
      <c r="C72" s="44" t="s">
        <v>172</v>
      </c>
      <c r="D72" s="47">
        <v>13059</v>
      </c>
      <c r="E72" s="46" t="s">
        <v>181</v>
      </c>
      <c r="F72" s="49">
        <f>35000*3</f>
        <v>105000</v>
      </c>
      <c r="G72" s="49">
        <f>35000*3</f>
        <v>105000</v>
      </c>
      <c r="H72" s="35">
        <v>0</v>
      </c>
      <c r="I72" s="35">
        <f t="shared" si="2"/>
        <v>105000</v>
      </c>
      <c r="J72" s="36">
        <f t="shared" si="3"/>
        <v>0</v>
      </c>
      <c r="K72" s="48" t="s">
        <v>14</v>
      </c>
      <c r="L72" s="48" t="s">
        <v>14</v>
      </c>
      <c r="M72" s="38">
        <v>42916</v>
      </c>
      <c r="N72" s="48" t="s">
        <v>18</v>
      </c>
      <c r="O72" s="41">
        <v>35000</v>
      </c>
      <c r="P72" s="41">
        <v>35000</v>
      </c>
      <c r="Q72" s="41">
        <v>35000</v>
      </c>
      <c r="R72" s="41"/>
      <c r="S72" s="58"/>
      <c r="T72" s="58"/>
    </row>
    <row r="73" spans="1:20" s="15" customFormat="1" ht="26.25" customHeight="1" x14ac:dyDescent="0.2">
      <c r="A73" s="43" t="s">
        <v>917</v>
      </c>
      <c r="B73" s="46" t="s">
        <v>17</v>
      </c>
      <c r="C73" s="44" t="s">
        <v>172</v>
      </c>
      <c r="D73" s="47">
        <v>14310</v>
      </c>
      <c r="E73" s="46" t="s">
        <v>181</v>
      </c>
      <c r="F73" s="35">
        <f>14000*3</f>
        <v>42000</v>
      </c>
      <c r="G73" s="35">
        <v>35000</v>
      </c>
      <c r="H73" s="35">
        <f>14000*3</f>
        <v>42000</v>
      </c>
      <c r="I73" s="35">
        <f t="shared" si="2"/>
        <v>77000</v>
      </c>
      <c r="J73" s="36">
        <f t="shared" si="3"/>
        <v>1.2</v>
      </c>
      <c r="K73" s="48" t="s">
        <v>14</v>
      </c>
      <c r="L73" s="48" t="s">
        <v>14</v>
      </c>
      <c r="M73" s="38">
        <v>42916</v>
      </c>
      <c r="N73" s="48" t="s">
        <v>18</v>
      </c>
      <c r="O73" s="35">
        <v>14000</v>
      </c>
      <c r="P73" s="35">
        <v>14000</v>
      </c>
      <c r="Q73" s="35">
        <v>14000</v>
      </c>
      <c r="R73" s="35"/>
      <c r="S73" s="58"/>
      <c r="T73" s="58"/>
    </row>
    <row r="74" spans="1:20" s="15" customFormat="1" ht="26.25" customHeight="1" x14ac:dyDescent="0.2">
      <c r="A74" s="43" t="s">
        <v>1071</v>
      </c>
      <c r="B74" s="46" t="s">
        <v>17</v>
      </c>
      <c r="C74" s="44" t="s">
        <v>1075</v>
      </c>
      <c r="D74" s="47">
        <v>14667</v>
      </c>
      <c r="E74" s="46" t="s">
        <v>1082</v>
      </c>
      <c r="F74" s="35">
        <v>95000</v>
      </c>
      <c r="G74" s="35">
        <v>95000</v>
      </c>
      <c r="H74" s="35">
        <v>0</v>
      </c>
      <c r="I74" s="35">
        <f t="shared" si="2"/>
        <v>95000</v>
      </c>
      <c r="J74" s="36">
        <f t="shared" si="3"/>
        <v>0</v>
      </c>
      <c r="K74" s="48" t="s">
        <v>14</v>
      </c>
      <c r="L74" s="48" t="s">
        <v>15</v>
      </c>
      <c r="M74" s="38">
        <v>43281</v>
      </c>
      <c r="N74" s="48"/>
      <c r="O74" s="35">
        <v>95000</v>
      </c>
      <c r="P74" s="35"/>
      <c r="Q74" s="35"/>
      <c r="R74" s="35"/>
      <c r="S74" s="58"/>
      <c r="T74" s="58"/>
    </row>
    <row r="75" spans="1:20" s="15" customFormat="1" ht="26.25" customHeight="1" x14ac:dyDescent="0.2">
      <c r="A75" s="43" t="s">
        <v>838</v>
      </c>
      <c r="B75" s="46" t="s">
        <v>17</v>
      </c>
      <c r="C75" s="44" t="s">
        <v>846</v>
      </c>
      <c r="D75" s="47">
        <v>14117</v>
      </c>
      <c r="E75" s="46" t="s">
        <v>854</v>
      </c>
      <c r="F75" s="35">
        <v>38500</v>
      </c>
      <c r="G75" s="35">
        <v>38500</v>
      </c>
      <c r="H75" s="35">
        <v>0</v>
      </c>
      <c r="I75" s="35">
        <f t="shared" si="2"/>
        <v>38500</v>
      </c>
      <c r="J75" s="36">
        <f t="shared" si="3"/>
        <v>0</v>
      </c>
      <c r="K75" s="48" t="s">
        <v>14</v>
      </c>
      <c r="L75" s="48" t="s">
        <v>14</v>
      </c>
      <c r="M75" s="38">
        <v>43069</v>
      </c>
      <c r="N75" s="48"/>
      <c r="O75" s="35">
        <v>38500</v>
      </c>
      <c r="P75" s="35"/>
      <c r="Q75" s="35"/>
      <c r="R75" s="35"/>
      <c r="S75" s="58"/>
      <c r="T75" s="58"/>
    </row>
    <row r="76" spans="1:20" s="15" customFormat="1" ht="26.25" customHeight="1" x14ac:dyDescent="0.2">
      <c r="A76" s="43" t="s">
        <v>971</v>
      </c>
      <c r="B76" s="46" t="s">
        <v>17</v>
      </c>
      <c r="C76" s="44" t="s">
        <v>981</v>
      </c>
      <c r="D76" s="47">
        <v>14169</v>
      </c>
      <c r="E76" s="46" t="s">
        <v>992</v>
      </c>
      <c r="F76" s="35">
        <f>45000*3</f>
        <v>135000</v>
      </c>
      <c r="G76" s="35">
        <f>45000*3</f>
        <v>135000</v>
      </c>
      <c r="H76" s="35">
        <v>0</v>
      </c>
      <c r="I76" s="35">
        <f t="shared" si="2"/>
        <v>135000</v>
      </c>
      <c r="J76" s="36">
        <f t="shared" si="3"/>
        <v>0</v>
      </c>
      <c r="K76" s="48" t="s">
        <v>14</v>
      </c>
      <c r="L76" s="48" t="s">
        <v>15</v>
      </c>
      <c r="M76" s="38">
        <v>43281</v>
      </c>
      <c r="N76" s="48" t="s">
        <v>18</v>
      </c>
      <c r="O76" s="35">
        <v>45000</v>
      </c>
      <c r="P76" s="35">
        <v>45000</v>
      </c>
      <c r="Q76" s="35">
        <v>45000</v>
      </c>
      <c r="R76" s="35"/>
      <c r="S76" s="58"/>
      <c r="T76" s="58"/>
    </row>
    <row r="77" spans="1:20" s="15" customFormat="1" ht="26.25" customHeight="1" x14ac:dyDescent="0.2">
      <c r="A77" s="43" t="s">
        <v>629</v>
      </c>
      <c r="B77" s="46" t="s">
        <v>17</v>
      </c>
      <c r="C77" s="44" t="s">
        <v>643</v>
      </c>
      <c r="D77" s="47">
        <v>13804</v>
      </c>
      <c r="E77" s="46" t="s">
        <v>654</v>
      </c>
      <c r="F77" s="35">
        <f>9540*3</f>
        <v>28620</v>
      </c>
      <c r="G77" s="35">
        <f>9540*3</f>
        <v>28620</v>
      </c>
      <c r="H77" s="35">
        <v>0</v>
      </c>
      <c r="I77" s="35">
        <f t="shared" si="2"/>
        <v>28620</v>
      </c>
      <c r="J77" s="36">
        <f t="shared" si="3"/>
        <v>0</v>
      </c>
      <c r="K77" s="48" t="s">
        <v>14</v>
      </c>
      <c r="L77" s="48" t="s">
        <v>14</v>
      </c>
      <c r="M77" s="38">
        <v>42916</v>
      </c>
      <c r="N77" s="48" t="s">
        <v>18</v>
      </c>
      <c r="O77" s="35">
        <v>9540</v>
      </c>
      <c r="P77" s="35">
        <v>9540</v>
      </c>
      <c r="Q77" s="35">
        <v>9540</v>
      </c>
      <c r="R77" s="35"/>
      <c r="S77" s="58"/>
      <c r="T77" s="58"/>
    </row>
    <row r="78" spans="1:20" s="15" customFormat="1" ht="26.25" customHeight="1" x14ac:dyDescent="0.2">
      <c r="A78" s="43" t="s">
        <v>501</v>
      </c>
      <c r="B78" s="46" t="s">
        <v>17</v>
      </c>
      <c r="C78" s="44" t="s">
        <v>508</v>
      </c>
      <c r="D78" s="47">
        <v>13643</v>
      </c>
      <c r="E78" s="46" t="s">
        <v>515</v>
      </c>
      <c r="F78" s="35">
        <f>62525*3</f>
        <v>187575</v>
      </c>
      <c r="G78" s="35">
        <f>62525*3</f>
        <v>187575</v>
      </c>
      <c r="H78" s="35">
        <v>0</v>
      </c>
      <c r="I78" s="35">
        <f t="shared" si="2"/>
        <v>187575</v>
      </c>
      <c r="J78" s="36">
        <f t="shared" si="3"/>
        <v>0</v>
      </c>
      <c r="K78" s="48" t="s">
        <v>14</v>
      </c>
      <c r="L78" s="48" t="s">
        <v>14</v>
      </c>
      <c r="M78" s="38">
        <v>42916</v>
      </c>
      <c r="N78" s="48" t="s">
        <v>18</v>
      </c>
      <c r="O78" s="35">
        <v>62525</v>
      </c>
      <c r="P78" s="35">
        <v>62525</v>
      </c>
      <c r="Q78" s="35">
        <v>62525</v>
      </c>
      <c r="R78" s="35"/>
      <c r="S78" s="58"/>
      <c r="T78" s="58"/>
    </row>
    <row r="79" spans="1:20" s="15" customFormat="1" ht="26.25" customHeight="1" x14ac:dyDescent="0.2">
      <c r="A79" s="43" t="s">
        <v>420</v>
      </c>
      <c r="B79" s="46" t="s">
        <v>17</v>
      </c>
      <c r="C79" s="44" t="s">
        <v>427</v>
      </c>
      <c r="D79" s="47">
        <v>13492</v>
      </c>
      <c r="E79" s="46" t="s">
        <v>433</v>
      </c>
      <c r="F79" s="35">
        <f>45000*2</f>
        <v>90000</v>
      </c>
      <c r="G79" s="35">
        <f>45000*2</f>
        <v>90000</v>
      </c>
      <c r="H79" s="35">
        <v>0</v>
      </c>
      <c r="I79" s="35">
        <f t="shared" si="2"/>
        <v>90000</v>
      </c>
      <c r="J79" s="36">
        <f t="shared" si="3"/>
        <v>0</v>
      </c>
      <c r="K79" s="48" t="s">
        <v>14</v>
      </c>
      <c r="L79" s="48" t="s">
        <v>15</v>
      </c>
      <c r="M79" s="38">
        <v>42916</v>
      </c>
      <c r="N79" s="48" t="s">
        <v>18</v>
      </c>
      <c r="O79" s="35">
        <v>45000</v>
      </c>
      <c r="P79" s="35">
        <v>45000</v>
      </c>
      <c r="Q79" s="35"/>
      <c r="R79" s="35"/>
      <c r="S79" s="58"/>
      <c r="T79" s="58"/>
    </row>
    <row r="80" spans="1:20" s="15" customFormat="1" ht="26.25" customHeight="1" x14ac:dyDescent="0.2">
      <c r="A80" s="43" t="s">
        <v>1052</v>
      </c>
      <c r="B80" s="46" t="s">
        <v>17</v>
      </c>
      <c r="C80" s="44" t="s">
        <v>427</v>
      </c>
      <c r="D80" s="54" t="s">
        <v>1061</v>
      </c>
      <c r="E80" s="46" t="s">
        <v>1062</v>
      </c>
      <c r="F80" s="35">
        <v>13200</v>
      </c>
      <c r="G80" s="35">
        <v>45000</v>
      </c>
      <c r="H80" s="35">
        <v>13200</v>
      </c>
      <c r="I80" s="35">
        <f t="shared" si="2"/>
        <v>58200</v>
      </c>
      <c r="J80" s="36">
        <f t="shared" si="3"/>
        <v>0.29333333333333333</v>
      </c>
      <c r="K80" s="48" t="s">
        <v>14</v>
      </c>
      <c r="L80" s="48" t="s">
        <v>14</v>
      </c>
      <c r="M80" s="38">
        <v>42916</v>
      </c>
      <c r="N80" s="48" t="s">
        <v>28</v>
      </c>
      <c r="O80" s="35">
        <v>13200</v>
      </c>
      <c r="P80" s="35"/>
      <c r="Q80" s="35"/>
      <c r="R80" s="35"/>
      <c r="S80" s="58"/>
      <c r="T80" s="58"/>
    </row>
    <row r="81" spans="1:20" s="15" customFormat="1" ht="26.25" customHeight="1" x14ac:dyDescent="0.2">
      <c r="A81" s="43" t="s">
        <v>1003</v>
      </c>
      <c r="B81" s="46" t="s">
        <v>17</v>
      </c>
      <c r="C81" s="44" t="s">
        <v>1006</v>
      </c>
      <c r="D81" s="47">
        <v>14492</v>
      </c>
      <c r="E81" s="46" t="s">
        <v>1009</v>
      </c>
      <c r="F81" s="35">
        <v>90000</v>
      </c>
      <c r="G81" s="35">
        <v>90000</v>
      </c>
      <c r="H81" s="35">
        <v>0</v>
      </c>
      <c r="I81" s="35">
        <f t="shared" si="2"/>
        <v>90000</v>
      </c>
      <c r="J81" s="36">
        <f t="shared" si="3"/>
        <v>0</v>
      </c>
      <c r="K81" s="48" t="s">
        <v>14</v>
      </c>
      <c r="L81" s="48" t="s">
        <v>14</v>
      </c>
      <c r="M81" s="38">
        <v>43281</v>
      </c>
      <c r="N81" s="48"/>
      <c r="O81" s="35">
        <v>90000</v>
      </c>
      <c r="P81" s="35"/>
      <c r="Q81" s="35"/>
      <c r="R81" s="35"/>
      <c r="S81" s="58"/>
      <c r="T81" s="58"/>
    </row>
    <row r="82" spans="1:20" s="15" customFormat="1" ht="26.25" customHeight="1" x14ac:dyDescent="0.2">
      <c r="A82" s="43" t="s">
        <v>1067</v>
      </c>
      <c r="B82" s="46" t="s">
        <v>17</v>
      </c>
      <c r="C82" s="44" t="s">
        <v>1072</v>
      </c>
      <c r="D82" s="47">
        <v>14530</v>
      </c>
      <c r="E82" s="46" t="s">
        <v>1078</v>
      </c>
      <c r="F82" s="35">
        <f>99000*2</f>
        <v>198000</v>
      </c>
      <c r="G82" s="35">
        <f>99000*2</f>
        <v>198000</v>
      </c>
      <c r="H82" s="35">
        <v>0</v>
      </c>
      <c r="I82" s="35">
        <f t="shared" si="2"/>
        <v>198000</v>
      </c>
      <c r="J82" s="36">
        <f t="shared" si="3"/>
        <v>0</v>
      </c>
      <c r="K82" s="48" t="s">
        <v>14</v>
      </c>
      <c r="L82" s="48" t="s">
        <v>14</v>
      </c>
      <c r="M82" s="38">
        <v>43281</v>
      </c>
      <c r="N82" s="48" t="s">
        <v>18</v>
      </c>
      <c r="O82" s="35">
        <v>99000</v>
      </c>
      <c r="P82" s="35">
        <v>99000</v>
      </c>
      <c r="Q82" s="35"/>
      <c r="R82" s="35"/>
      <c r="S82" s="58"/>
      <c r="T82" s="58"/>
    </row>
    <row r="83" spans="1:20" s="15" customFormat="1" ht="26.25" customHeight="1" x14ac:dyDescent="0.2">
      <c r="A83" s="43" t="s">
        <v>1055</v>
      </c>
      <c r="B83" s="46" t="s">
        <v>843</v>
      </c>
      <c r="C83" s="44" t="s">
        <v>1059</v>
      </c>
      <c r="D83" s="47">
        <v>14734</v>
      </c>
      <c r="E83" s="46" t="s">
        <v>1065</v>
      </c>
      <c r="F83" s="35">
        <v>77500</v>
      </c>
      <c r="G83" s="35">
        <v>77500</v>
      </c>
      <c r="H83" s="35">
        <v>0</v>
      </c>
      <c r="I83" s="35">
        <f t="shared" si="2"/>
        <v>77500</v>
      </c>
      <c r="J83" s="36">
        <f t="shared" si="3"/>
        <v>0</v>
      </c>
      <c r="K83" s="48" t="s">
        <v>14</v>
      </c>
      <c r="L83" s="48" t="s">
        <v>14</v>
      </c>
      <c r="M83" s="38">
        <v>43131</v>
      </c>
      <c r="N83" s="48"/>
      <c r="O83" s="35">
        <v>77500</v>
      </c>
      <c r="P83" s="35"/>
      <c r="Q83" s="35"/>
      <c r="R83" s="35"/>
      <c r="S83" s="58"/>
      <c r="T83" s="58"/>
    </row>
    <row r="84" spans="1:20" s="15" customFormat="1" ht="26.25" customHeight="1" x14ac:dyDescent="0.2">
      <c r="A84" s="43" t="s">
        <v>840</v>
      </c>
      <c r="B84" s="46" t="s">
        <v>843</v>
      </c>
      <c r="C84" s="44" t="s">
        <v>848</v>
      </c>
      <c r="D84" s="47">
        <v>14130</v>
      </c>
      <c r="E84" s="46" t="s">
        <v>856</v>
      </c>
      <c r="F84" s="35">
        <v>49990</v>
      </c>
      <c r="G84" s="35">
        <v>49990</v>
      </c>
      <c r="H84" s="35">
        <v>0</v>
      </c>
      <c r="I84" s="35">
        <f t="shared" si="2"/>
        <v>49990</v>
      </c>
      <c r="J84" s="36">
        <f t="shared" si="3"/>
        <v>0</v>
      </c>
      <c r="K84" s="48" t="s">
        <v>14</v>
      </c>
      <c r="L84" s="48" t="s">
        <v>14</v>
      </c>
      <c r="M84" s="38">
        <v>42886</v>
      </c>
      <c r="N84" s="48"/>
      <c r="O84" s="35">
        <v>49990</v>
      </c>
      <c r="P84" s="35"/>
      <c r="Q84" s="35"/>
      <c r="R84" s="35"/>
      <c r="S84" s="58"/>
      <c r="T84" s="58"/>
    </row>
    <row r="85" spans="1:20" s="15" customFormat="1" ht="26.25" customHeight="1" x14ac:dyDescent="0.2">
      <c r="A85" s="43" t="s">
        <v>590</v>
      </c>
      <c r="B85" s="46" t="s">
        <v>596</v>
      </c>
      <c r="C85" s="44" t="s">
        <v>598</v>
      </c>
      <c r="D85" s="47">
        <v>13692</v>
      </c>
      <c r="E85" s="46" t="s">
        <v>604</v>
      </c>
      <c r="F85" s="35">
        <v>13416</v>
      </c>
      <c r="G85" s="35">
        <v>13416</v>
      </c>
      <c r="H85" s="35">
        <v>0</v>
      </c>
      <c r="I85" s="35">
        <f t="shared" si="2"/>
        <v>13416</v>
      </c>
      <c r="J85" s="36">
        <f t="shared" si="3"/>
        <v>0</v>
      </c>
      <c r="K85" s="48" t="s">
        <v>14</v>
      </c>
      <c r="L85" s="48" t="s">
        <v>14</v>
      </c>
      <c r="M85" s="38">
        <v>43220</v>
      </c>
      <c r="N85" s="48"/>
      <c r="O85" s="35">
        <v>13416</v>
      </c>
      <c r="P85" s="35"/>
      <c r="Q85" s="35"/>
      <c r="R85" s="35"/>
      <c r="S85" s="58"/>
      <c r="T85" s="58"/>
    </row>
    <row r="86" spans="1:20" s="15" customFormat="1" ht="26.25" customHeight="1" x14ac:dyDescent="0.2">
      <c r="A86" s="43" t="s">
        <v>193</v>
      </c>
      <c r="B86" s="46" t="s">
        <v>25</v>
      </c>
      <c r="C86" s="44" t="s">
        <v>61</v>
      </c>
      <c r="D86" s="34">
        <v>13021</v>
      </c>
      <c r="E86" s="46" t="s">
        <v>224</v>
      </c>
      <c r="F86" s="35">
        <f>99000*2</f>
        <v>198000</v>
      </c>
      <c r="G86" s="35">
        <f>99000*2</f>
        <v>198000</v>
      </c>
      <c r="H86" s="35">
        <v>0</v>
      </c>
      <c r="I86" s="35">
        <f t="shared" si="2"/>
        <v>198000</v>
      </c>
      <c r="J86" s="36">
        <f t="shared" si="3"/>
        <v>0</v>
      </c>
      <c r="K86" s="48" t="s">
        <v>14</v>
      </c>
      <c r="L86" s="48" t="s">
        <v>14</v>
      </c>
      <c r="M86" s="38">
        <v>42916</v>
      </c>
      <c r="N86" s="48" t="s">
        <v>18</v>
      </c>
      <c r="O86" s="35">
        <v>99000</v>
      </c>
      <c r="P86" s="35">
        <v>99000</v>
      </c>
      <c r="Q86" s="35"/>
      <c r="R86" s="35"/>
      <c r="S86" s="58"/>
      <c r="T86" s="58"/>
    </row>
    <row r="87" spans="1:20" s="15" customFormat="1" ht="26.25" customHeight="1" x14ac:dyDescent="0.2">
      <c r="A87" s="43" t="s">
        <v>919</v>
      </c>
      <c r="B87" s="46" t="s">
        <v>25</v>
      </c>
      <c r="C87" s="44" t="s">
        <v>923</v>
      </c>
      <c r="D87" s="47">
        <v>14329</v>
      </c>
      <c r="E87" s="46" t="s">
        <v>926</v>
      </c>
      <c r="F87" s="35">
        <v>30000</v>
      </c>
      <c r="G87" s="35">
        <v>30000</v>
      </c>
      <c r="H87" s="35">
        <v>0</v>
      </c>
      <c r="I87" s="35">
        <f t="shared" si="2"/>
        <v>30000</v>
      </c>
      <c r="J87" s="36">
        <f t="shared" si="3"/>
        <v>0</v>
      </c>
      <c r="K87" s="48" t="s">
        <v>14</v>
      </c>
      <c r="L87" s="48" t="s">
        <v>14</v>
      </c>
      <c r="M87" s="38">
        <v>42916</v>
      </c>
      <c r="N87" s="48"/>
      <c r="O87" s="35">
        <v>30000</v>
      </c>
      <c r="P87" s="35"/>
      <c r="Q87" s="35"/>
      <c r="R87" s="35"/>
      <c r="S87" s="58"/>
      <c r="T87" s="58"/>
    </row>
    <row r="88" spans="1:20" s="15" customFormat="1" ht="26.25" customHeight="1" x14ac:dyDescent="0.2">
      <c r="A88" s="43" t="s">
        <v>861</v>
      </c>
      <c r="B88" s="46" t="s">
        <v>25</v>
      </c>
      <c r="C88" s="44" t="s">
        <v>863</v>
      </c>
      <c r="D88" s="47">
        <v>14183</v>
      </c>
      <c r="E88" s="46" t="s">
        <v>867</v>
      </c>
      <c r="F88" s="35">
        <v>49000</v>
      </c>
      <c r="G88" s="35">
        <v>49000</v>
      </c>
      <c r="H88" s="35">
        <v>0</v>
      </c>
      <c r="I88" s="35">
        <f t="shared" si="2"/>
        <v>49000</v>
      </c>
      <c r="J88" s="36">
        <f t="shared" si="3"/>
        <v>0</v>
      </c>
      <c r="K88" s="48" t="s">
        <v>14</v>
      </c>
      <c r="L88" s="48" t="s">
        <v>14</v>
      </c>
      <c r="M88" s="38">
        <v>42916</v>
      </c>
      <c r="N88" s="48"/>
      <c r="O88" s="35">
        <v>49000</v>
      </c>
      <c r="P88" s="35"/>
      <c r="Q88" s="35"/>
      <c r="R88" s="35"/>
      <c r="S88" s="58"/>
      <c r="T88" s="58"/>
    </row>
    <row r="89" spans="1:20" s="15" customFormat="1" ht="26.25" customHeight="1" x14ac:dyDescent="0.2">
      <c r="A89" s="43" t="s">
        <v>1013</v>
      </c>
      <c r="B89" s="46" t="s">
        <v>25</v>
      </c>
      <c r="C89" s="44" t="s">
        <v>1027</v>
      </c>
      <c r="D89" s="47">
        <v>14495</v>
      </c>
      <c r="E89" s="46" t="s">
        <v>1040</v>
      </c>
      <c r="F89" s="35">
        <f>7000*3</f>
        <v>21000</v>
      </c>
      <c r="G89" s="35">
        <f>7000*3</f>
        <v>21000</v>
      </c>
      <c r="H89" s="35">
        <v>0</v>
      </c>
      <c r="I89" s="35">
        <f t="shared" si="2"/>
        <v>21000</v>
      </c>
      <c r="J89" s="36">
        <f t="shared" si="3"/>
        <v>0</v>
      </c>
      <c r="K89" s="48" t="s">
        <v>14</v>
      </c>
      <c r="L89" s="48" t="s">
        <v>14</v>
      </c>
      <c r="M89" s="38">
        <v>42916</v>
      </c>
      <c r="N89" s="48" t="s">
        <v>18</v>
      </c>
      <c r="O89" s="35">
        <v>7000</v>
      </c>
      <c r="P89" s="35">
        <v>7000</v>
      </c>
      <c r="Q89" s="35">
        <v>7000</v>
      </c>
      <c r="R89" s="35"/>
      <c r="S89" s="58"/>
      <c r="T89" s="58"/>
    </row>
    <row r="90" spans="1:20" s="15" customFormat="1" ht="26.25" customHeight="1" x14ac:dyDescent="0.2">
      <c r="A90" s="43" t="s">
        <v>1178</v>
      </c>
      <c r="B90" s="43" t="s">
        <v>21</v>
      </c>
      <c r="C90" s="43" t="s">
        <v>1180</v>
      </c>
      <c r="D90" s="47">
        <v>14664</v>
      </c>
      <c r="E90" s="46" t="s">
        <v>1183</v>
      </c>
      <c r="F90" s="35">
        <v>70862</v>
      </c>
      <c r="G90" s="35">
        <v>70862</v>
      </c>
      <c r="H90" s="35">
        <v>0</v>
      </c>
      <c r="I90" s="35">
        <f t="shared" si="2"/>
        <v>70862</v>
      </c>
      <c r="J90" s="36">
        <f t="shared" si="3"/>
        <v>0</v>
      </c>
      <c r="K90" s="48" t="s">
        <v>14</v>
      </c>
      <c r="L90" s="48" t="s">
        <v>15</v>
      </c>
      <c r="M90" s="38">
        <v>43281</v>
      </c>
      <c r="N90" s="48"/>
      <c r="O90" s="35"/>
      <c r="P90" s="35">
        <v>70862</v>
      </c>
      <c r="Q90" s="35"/>
      <c r="R90" s="35"/>
      <c r="S90" s="58"/>
      <c r="T90" s="58"/>
    </row>
    <row r="91" spans="1:20" s="15" customFormat="1" ht="26.25" customHeight="1" x14ac:dyDescent="0.2">
      <c r="A91" s="43" t="s">
        <v>944</v>
      </c>
      <c r="B91" s="46" t="s">
        <v>21</v>
      </c>
      <c r="C91" s="44" t="s">
        <v>959</v>
      </c>
      <c r="D91" s="47">
        <v>14368</v>
      </c>
      <c r="E91" s="46" t="s">
        <v>223</v>
      </c>
      <c r="F91" s="35">
        <f>98000*3</f>
        <v>294000</v>
      </c>
      <c r="G91" s="35">
        <f>F91</f>
        <v>294000</v>
      </c>
      <c r="H91" s="35">
        <v>0</v>
      </c>
      <c r="I91" s="35">
        <f t="shared" si="2"/>
        <v>294000</v>
      </c>
      <c r="J91" s="36">
        <f t="shared" si="3"/>
        <v>0</v>
      </c>
      <c r="K91" s="48" t="s">
        <v>14</v>
      </c>
      <c r="L91" s="48" t="s">
        <v>14</v>
      </c>
      <c r="M91" s="38">
        <v>42916</v>
      </c>
      <c r="N91" s="48" t="s">
        <v>18</v>
      </c>
      <c r="O91" s="35">
        <v>98000</v>
      </c>
      <c r="P91" s="35">
        <v>98000</v>
      </c>
      <c r="Q91" s="35">
        <v>98000</v>
      </c>
      <c r="R91" s="35"/>
      <c r="S91" s="58"/>
      <c r="T91" s="58"/>
    </row>
    <row r="92" spans="1:20" s="15" customFormat="1" ht="18" customHeight="1" x14ac:dyDescent="0.2">
      <c r="A92" s="43" t="s">
        <v>339</v>
      </c>
      <c r="B92" s="46" t="s">
        <v>21</v>
      </c>
      <c r="C92" s="44" t="s">
        <v>344</v>
      </c>
      <c r="D92" s="47">
        <v>13271</v>
      </c>
      <c r="E92" s="46" t="s">
        <v>347</v>
      </c>
      <c r="F92" s="35">
        <f>98000*3</f>
        <v>294000</v>
      </c>
      <c r="G92" s="35">
        <f>98000*3</f>
        <v>294000</v>
      </c>
      <c r="H92" s="35">
        <v>0</v>
      </c>
      <c r="I92" s="35">
        <f t="shared" si="2"/>
        <v>294000</v>
      </c>
      <c r="J92" s="36">
        <f t="shared" si="3"/>
        <v>0</v>
      </c>
      <c r="K92" s="48" t="s">
        <v>14</v>
      </c>
      <c r="L92" s="48" t="s">
        <v>14</v>
      </c>
      <c r="M92" s="38">
        <v>42916</v>
      </c>
      <c r="N92" s="48" t="s">
        <v>18</v>
      </c>
      <c r="O92" s="35">
        <v>98000</v>
      </c>
      <c r="P92" s="35">
        <v>98000</v>
      </c>
      <c r="Q92" s="35">
        <v>98000</v>
      </c>
      <c r="R92" s="35"/>
      <c r="S92" s="58"/>
      <c r="T92" s="58"/>
    </row>
    <row r="93" spans="1:20" s="15" customFormat="1" ht="26.25" customHeight="1" x14ac:dyDescent="0.2">
      <c r="A93" s="43" t="s">
        <v>394</v>
      </c>
      <c r="B93" s="46" t="s">
        <v>21</v>
      </c>
      <c r="C93" s="44" t="s">
        <v>399</v>
      </c>
      <c r="D93" s="47">
        <v>13341</v>
      </c>
      <c r="E93" s="46" t="s">
        <v>406</v>
      </c>
      <c r="F93" s="35">
        <v>17295</v>
      </c>
      <c r="G93" s="35">
        <v>17295</v>
      </c>
      <c r="H93" s="35">
        <v>0</v>
      </c>
      <c r="I93" s="35">
        <f t="shared" si="2"/>
        <v>17295</v>
      </c>
      <c r="J93" s="36">
        <f t="shared" si="3"/>
        <v>0</v>
      </c>
      <c r="K93" s="48" t="s">
        <v>14</v>
      </c>
      <c r="L93" s="48" t="s">
        <v>14</v>
      </c>
      <c r="M93" s="38">
        <v>42916</v>
      </c>
      <c r="N93" s="48"/>
      <c r="O93" s="35">
        <v>17295</v>
      </c>
      <c r="P93" s="35"/>
      <c r="Q93" s="35"/>
      <c r="R93" s="35"/>
      <c r="S93" s="58"/>
      <c r="T93" s="58"/>
    </row>
    <row r="94" spans="1:20" s="15" customFormat="1" ht="26.25" customHeight="1" x14ac:dyDescent="0.2">
      <c r="A94" s="43" t="s">
        <v>686</v>
      </c>
      <c r="B94" s="46" t="s">
        <v>21</v>
      </c>
      <c r="C94" s="44" t="s">
        <v>691</v>
      </c>
      <c r="D94" s="47">
        <v>13229</v>
      </c>
      <c r="E94" s="46" t="s">
        <v>702</v>
      </c>
      <c r="F94" s="35">
        <v>49500</v>
      </c>
      <c r="G94" s="35">
        <v>49500</v>
      </c>
      <c r="H94" s="35">
        <v>0</v>
      </c>
      <c r="I94" s="35">
        <f t="shared" si="2"/>
        <v>49500</v>
      </c>
      <c r="J94" s="36">
        <f t="shared" si="3"/>
        <v>0</v>
      </c>
      <c r="K94" s="48" t="s">
        <v>15</v>
      </c>
      <c r="L94" s="48" t="s">
        <v>15</v>
      </c>
      <c r="M94" s="38">
        <v>42958</v>
      </c>
      <c r="N94" s="48"/>
      <c r="O94" s="35">
        <v>49500</v>
      </c>
      <c r="P94" s="35"/>
      <c r="Q94" s="35"/>
      <c r="R94" s="35"/>
      <c r="S94" s="58"/>
      <c r="T94" s="58"/>
    </row>
    <row r="95" spans="1:20" s="15" customFormat="1" ht="26.25" customHeight="1" x14ac:dyDescent="0.2">
      <c r="A95" s="43" t="s">
        <v>759</v>
      </c>
      <c r="B95" s="46" t="s">
        <v>21</v>
      </c>
      <c r="C95" s="44" t="s">
        <v>772</v>
      </c>
      <c r="D95" s="47">
        <v>14020</v>
      </c>
      <c r="E95" s="46" t="s">
        <v>784</v>
      </c>
      <c r="F95" s="35">
        <v>25000</v>
      </c>
      <c r="G95" s="35">
        <v>25000</v>
      </c>
      <c r="H95" s="35">
        <v>0</v>
      </c>
      <c r="I95" s="35">
        <f t="shared" si="2"/>
        <v>25000</v>
      </c>
      <c r="J95" s="36">
        <f t="shared" si="3"/>
        <v>0</v>
      </c>
      <c r="K95" s="48" t="s">
        <v>14</v>
      </c>
      <c r="L95" s="48" t="s">
        <v>14</v>
      </c>
      <c r="M95" s="38">
        <v>42916</v>
      </c>
      <c r="N95" s="48"/>
      <c r="O95" s="35">
        <v>25000</v>
      </c>
      <c r="P95" s="35"/>
      <c r="Q95" s="35"/>
      <c r="R95" s="35"/>
      <c r="S95" s="58"/>
      <c r="T95" s="58"/>
    </row>
    <row r="96" spans="1:20" s="15" customFormat="1" ht="18" customHeight="1" x14ac:dyDescent="0.2">
      <c r="A96" s="43" t="s">
        <v>931</v>
      </c>
      <c r="B96" s="46" t="s">
        <v>21</v>
      </c>
      <c r="C96" s="44" t="s">
        <v>947</v>
      </c>
      <c r="D96" s="47">
        <v>14222</v>
      </c>
      <c r="E96" s="46" t="s">
        <v>950</v>
      </c>
      <c r="F96" s="35">
        <f>8000+8000</f>
        <v>16000</v>
      </c>
      <c r="G96" s="35">
        <v>16250</v>
      </c>
      <c r="H96" s="35">
        <f>8000+8000</f>
        <v>16000</v>
      </c>
      <c r="I96" s="35">
        <f t="shared" si="2"/>
        <v>32250</v>
      </c>
      <c r="J96" s="36">
        <f t="shared" si="3"/>
        <v>0.98461538461538467</v>
      </c>
      <c r="K96" s="48" t="s">
        <v>14</v>
      </c>
      <c r="L96" s="48" t="s">
        <v>14</v>
      </c>
      <c r="M96" s="38">
        <v>42916</v>
      </c>
      <c r="N96" s="48" t="s">
        <v>28</v>
      </c>
      <c r="O96" s="35">
        <v>8000</v>
      </c>
      <c r="P96" s="35">
        <v>8000</v>
      </c>
      <c r="Q96" s="35"/>
      <c r="R96" s="35"/>
      <c r="S96" s="58"/>
      <c r="T96" s="58"/>
    </row>
    <row r="97" spans="1:20" s="15" customFormat="1" ht="26.25" customHeight="1" x14ac:dyDescent="0.2">
      <c r="A97" s="43" t="s">
        <v>505</v>
      </c>
      <c r="B97" s="46" t="s">
        <v>21</v>
      </c>
      <c r="C97" s="44" t="s">
        <v>512</v>
      </c>
      <c r="D97" s="47">
        <v>13536</v>
      </c>
      <c r="E97" s="46" t="s">
        <v>519</v>
      </c>
      <c r="F97" s="35">
        <f>95000*3</f>
        <v>285000</v>
      </c>
      <c r="G97" s="35">
        <f>95000*3</f>
        <v>285000</v>
      </c>
      <c r="H97" s="35">
        <v>0</v>
      </c>
      <c r="I97" s="35">
        <f t="shared" si="2"/>
        <v>285000</v>
      </c>
      <c r="J97" s="36">
        <f t="shared" si="3"/>
        <v>0</v>
      </c>
      <c r="K97" s="48" t="s">
        <v>14</v>
      </c>
      <c r="L97" s="48" t="s">
        <v>14</v>
      </c>
      <c r="M97" s="38">
        <v>42916</v>
      </c>
      <c r="N97" s="48" t="s">
        <v>18</v>
      </c>
      <c r="O97" s="35">
        <v>95000</v>
      </c>
      <c r="P97" s="35">
        <v>95000</v>
      </c>
      <c r="Q97" s="35">
        <v>95000</v>
      </c>
      <c r="R97" s="35"/>
      <c r="S97" s="58"/>
      <c r="T97" s="58"/>
    </row>
    <row r="98" spans="1:20" s="15" customFormat="1" ht="26.25" customHeight="1" x14ac:dyDescent="0.2">
      <c r="A98" s="43" t="s">
        <v>90</v>
      </c>
      <c r="B98" s="46" t="s">
        <v>21</v>
      </c>
      <c r="C98" s="44" t="s">
        <v>95</v>
      </c>
      <c r="D98" s="34">
        <v>12958</v>
      </c>
      <c r="E98" s="46" t="s">
        <v>98</v>
      </c>
      <c r="F98" s="35">
        <f>56333*3</f>
        <v>168999</v>
      </c>
      <c r="G98" s="35">
        <f>56333*3</f>
        <v>168999</v>
      </c>
      <c r="H98" s="35">
        <v>0</v>
      </c>
      <c r="I98" s="49">
        <f t="shared" si="2"/>
        <v>168999</v>
      </c>
      <c r="J98" s="51">
        <f t="shared" si="3"/>
        <v>0</v>
      </c>
      <c r="K98" s="48" t="s">
        <v>14</v>
      </c>
      <c r="L98" s="48" t="s">
        <v>14</v>
      </c>
      <c r="M98" s="38">
        <v>42916</v>
      </c>
      <c r="N98" s="48" t="s">
        <v>18</v>
      </c>
      <c r="O98" s="41">
        <v>56333</v>
      </c>
      <c r="P98" s="41">
        <v>56333</v>
      </c>
      <c r="Q98" s="41">
        <v>56333</v>
      </c>
      <c r="R98" s="41"/>
      <c r="S98" s="58"/>
      <c r="T98" s="58"/>
    </row>
    <row r="99" spans="1:20" s="15" customFormat="1" ht="26.25" customHeight="1" x14ac:dyDescent="0.2">
      <c r="A99" s="43" t="s">
        <v>291</v>
      </c>
      <c r="B99" s="46" t="s">
        <v>21</v>
      </c>
      <c r="C99" s="44" t="s">
        <v>293</v>
      </c>
      <c r="D99" s="47">
        <v>13224</v>
      </c>
      <c r="E99" s="46" t="s">
        <v>298</v>
      </c>
      <c r="F99" s="35">
        <v>65000</v>
      </c>
      <c r="G99" s="35">
        <v>65000</v>
      </c>
      <c r="H99" s="35">
        <v>0</v>
      </c>
      <c r="I99" s="35">
        <f t="shared" si="2"/>
        <v>65000</v>
      </c>
      <c r="J99" s="36">
        <f t="shared" si="3"/>
        <v>0</v>
      </c>
      <c r="K99" s="48" t="s">
        <v>14</v>
      </c>
      <c r="L99" s="48" t="s">
        <v>14</v>
      </c>
      <c r="M99" s="38">
        <v>42916</v>
      </c>
      <c r="N99" s="48"/>
      <c r="O99" s="35">
        <v>65000</v>
      </c>
      <c r="P99" s="35"/>
      <c r="Q99" s="35"/>
      <c r="R99" s="35"/>
      <c r="S99" s="58"/>
      <c r="T99" s="58"/>
    </row>
    <row r="100" spans="1:20" s="15" customFormat="1" ht="26.25" customHeight="1" x14ac:dyDescent="0.2">
      <c r="A100" s="43" t="s">
        <v>248</v>
      </c>
      <c r="B100" s="46" t="s">
        <v>21</v>
      </c>
      <c r="C100" s="44" t="s">
        <v>266</v>
      </c>
      <c r="D100" s="47">
        <v>13222</v>
      </c>
      <c r="E100" s="46" t="s">
        <v>282</v>
      </c>
      <c r="F100" s="35">
        <v>7587</v>
      </c>
      <c r="G100" s="35">
        <v>7587</v>
      </c>
      <c r="H100" s="35">
        <v>0</v>
      </c>
      <c r="I100" s="35">
        <f t="shared" si="2"/>
        <v>7587</v>
      </c>
      <c r="J100" s="36">
        <f t="shared" si="3"/>
        <v>0</v>
      </c>
      <c r="K100" s="48" t="s">
        <v>14</v>
      </c>
      <c r="L100" s="48" t="s">
        <v>14</v>
      </c>
      <c r="M100" s="38">
        <v>42623</v>
      </c>
      <c r="N100" s="48"/>
      <c r="O100" s="35">
        <v>7587</v>
      </c>
      <c r="P100" s="35"/>
      <c r="Q100" s="35"/>
      <c r="R100" s="35"/>
      <c r="S100" s="58"/>
      <c r="T100" s="58"/>
    </row>
    <row r="101" spans="1:20" s="15" customFormat="1" ht="26.25" customHeight="1" x14ac:dyDescent="0.2">
      <c r="A101" s="43" t="s">
        <v>353</v>
      </c>
      <c r="B101" s="46" t="s">
        <v>21</v>
      </c>
      <c r="C101" s="44" t="s">
        <v>357</v>
      </c>
      <c r="D101" s="47">
        <v>13354</v>
      </c>
      <c r="E101" s="46" t="s">
        <v>362</v>
      </c>
      <c r="F101" s="35">
        <v>91554</v>
      </c>
      <c r="G101" s="35">
        <v>91554</v>
      </c>
      <c r="H101" s="35">
        <v>0</v>
      </c>
      <c r="I101" s="35">
        <f t="shared" si="2"/>
        <v>91554</v>
      </c>
      <c r="J101" s="36">
        <f t="shared" si="3"/>
        <v>0</v>
      </c>
      <c r="K101" s="48" t="s">
        <v>14</v>
      </c>
      <c r="L101" s="48" t="s">
        <v>15</v>
      </c>
      <c r="M101" s="38">
        <v>44926</v>
      </c>
      <c r="N101" s="48"/>
      <c r="O101" s="35">
        <v>91554</v>
      </c>
      <c r="P101" s="35"/>
      <c r="Q101" s="35"/>
      <c r="R101" s="35"/>
      <c r="S101" s="58"/>
      <c r="T101" s="58"/>
    </row>
    <row r="102" spans="1:20" s="15" customFormat="1" ht="26.25" customHeight="1" x14ac:dyDescent="0.2">
      <c r="A102" s="43" t="s">
        <v>1159</v>
      </c>
      <c r="B102" s="46" t="s">
        <v>21</v>
      </c>
      <c r="C102" s="44" t="s">
        <v>1165</v>
      </c>
      <c r="D102" s="47">
        <v>14820</v>
      </c>
      <c r="E102" s="46" t="s">
        <v>1177</v>
      </c>
      <c r="F102" s="35">
        <v>48833</v>
      </c>
      <c r="G102" s="35">
        <v>48833</v>
      </c>
      <c r="H102" s="35">
        <v>0</v>
      </c>
      <c r="I102" s="35">
        <f t="shared" si="2"/>
        <v>48833</v>
      </c>
      <c r="J102" s="36">
        <f t="shared" si="3"/>
        <v>0</v>
      </c>
      <c r="K102" s="48" t="s">
        <v>14</v>
      </c>
      <c r="L102" s="48" t="s">
        <v>14</v>
      </c>
      <c r="M102" s="38">
        <v>42946</v>
      </c>
      <c r="N102" s="48"/>
      <c r="O102" s="35">
        <v>48833</v>
      </c>
      <c r="P102" s="35"/>
      <c r="Q102" s="35"/>
      <c r="R102" s="35"/>
      <c r="S102" s="58"/>
      <c r="T102" s="58"/>
    </row>
    <row r="103" spans="1:20" s="15" customFormat="1" ht="26.25" customHeight="1" x14ac:dyDescent="0.2">
      <c r="A103" s="43" t="s">
        <v>1021</v>
      </c>
      <c r="B103" s="46" t="s">
        <v>21</v>
      </c>
      <c r="C103" s="44" t="s">
        <v>1034</v>
      </c>
      <c r="D103" s="47">
        <v>14553</v>
      </c>
      <c r="E103" s="46" t="s">
        <v>1047</v>
      </c>
      <c r="F103" s="35">
        <v>22000</v>
      </c>
      <c r="G103" s="35">
        <v>22000</v>
      </c>
      <c r="H103" s="35">
        <v>0</v>
      </c>
      <c r="I103" s="35">
        <f t="shared" si="2"/>
        <v>22000</v>
      </c>
      <c r="J103" s="36">
        <f t="shared" si="3"/>
        <v>0</v>
      </c>
      <c r="K103" s="48" t="s">
        <v>14</v>
      </c>
      <c r="L103" s="48" t="s">
        <v>15</v>
      </c>
      <c r="M103" s="38">
        <v>42916</v>
      </c>
      <c r="N103" s="48"/>
      <c r="O103" s="35">
        <v>22000</v>
      </c>
      <c r="P103" s="35"/>
      <c r="Q103" s="35"/>
      <c r="R103" s="35"/>
      <c r="S103" s="58"/>
      <c r="T103" s="58"/>
    </row>
    <row r="104" spans="1:20" s="15" customFormat="1" ht="26.25" customHeight="1" x14ac:dyDescent="0.2">
      <c r="A104" s="43" t="s">
        <v>195</v>
      </c>
      <c r="B104" s="46" t="s">
        <v>21</v>
      </c>
      <c r="C104" s="44" t="s">
        <v>207</v>
      </c>
      <c r="D104" s="47">
        <v>13043</v>
      </c>
      <c r="E104" s="46" t="s">
        <v>226</v>
      </c>
      <c r="F104" s="35">
        <f>95000*3</f>
        <v>285000</v>
      </c>
      <c r="G104" s="35">
        <f>95000*3</f>
        <v>285000</v>
      </c>
      <c r="H104" s="35">
        <v>0</v>
      </c>
      <c r="I104" s="35">
        <f t="shared" si="2"/>
        <v>285000</v>
      </c>
      <c r="J104" s="36">
        <f t="shared" si="3"/>
        <v>0</v>
      </c>
      <c r="K104" s="48" t="s">
        <v>14</v>
      </c>
      <c r="L104" s="48" t="s">
        <v>14</v>
      </c>
      <c r="M104" s="38">
        <v>42916</v>
      </c>
      <c r="N104" s="48" t="s">
        <v>18</v>
      </c>
      <c r="O104" s="35">
        <v>95000</v>
      </c>
      <c r="P104" s="35">
        <v>95000</v>
      </c>
      <c r="Q104" s="35">
        <v>95000</v>
      </c>
      <c r="R104" s="35"/>
      <c r="S104" s="58"/>
      <c r="T104" s="58"/>
    </row>
    <row r="105" spans="1:20" s="15" customFormat="1" ht="26.25" customHeight="1" x14ac:dyDescent="0.2">
      <c r="A105" s="43" t="s">
        <v>506</v>
      </c>
      <c r="B105" s="46" t="s">
        <v>21</v>
      </c>
      <c r="C105" s="44" t="s">
        <v>513</v>
      </c>
      <c r="D105" s="47">
        <v>13535</v>
      </c>
      <c r="E105" s="46" t="s">
        <v>519</v>
      </c>
      <c r="F105" s="35">
        <f>95000*3</f>
        <v>285000</v>
      </c>
      <c r="G105" s="35">
        <f>95000*3</f>
        <v>285000</v>
      </c>
      <c r="H105" s="35">
        <v>0</v>
      </c>
      <c r="I105" s="35">
        <f t="shared" si="2"/>
        <v>285000</v>
      </c>
      <c r="J105" s="36">
        <f t="shared" si="3"/>
        <v>0</v>
      </c>
      <c r="K105" s="48" t="s">
        <v>14</v>
      </c>
      <c r="L105" s="48" t="s">
        <v>14</v>
      </c>
      <c r="M105" s="38">
        <v>42916</v>
      </c>
      <c r="N105" s="48" t="s">
        <v>18</v>
      </c>
      <c r="O105" s="35">
        <v>95000</v>
      </c>
      <c r="P105" s="35">
        <v>95000</v>
      </c>
      <c r="Q105" s="35">
        <v>95000</v>
      </c>
      <c r="R105" s="35"/>
      <c r="S105" s="58"/>
      <c r="T105" s="58"/>
    </row>
    <row r="106" spans="1:20" s="15" customFormat="1" ht="18" customHeight="1" x14ac:dyDescent="0.2">
      <c r="A106" s="43" t="s">
        <v>585</v>
      </c>
      <c r="B106" s="46" t="s">
        <v>21</v>
      </c>
      <c r="C106" s="44" t="s">
        <v>588</v>
      </c>
      <c r="D106" s="47">
        <v>13646</v>
      </c>
      <c r="E106" s="46" t="s">
        <v>669</v>
      </c>
      <c r="F106" s="35">
        <f>60000*3</f>
        <v>180000</v>
      </c>
      <c r="G106" s="35">
        <f>60000*3</f>
        <v>180000</v>
      </c>
      <c r="H106" s="35">
        <v>0</v>
      </c>
      <c r="I106" s="35">
        <f t="shared" si="2"/>
        <v>180000</v>
      </c>
      <c r="J106" s="36">
        <f t="shared" si="3"/>
        <v>0</v>
      </c>
      <c r="K106" s="48" t="s">
        <v>14</v>
      </c>
      <c r="L106" s="48" t="s">
        <v>15</v>
      </c>
      <c r="M106" s="38">
        <v>42916</v>
      </c>
      <c r="N106" s="48" t="s">
        <v>18</v>
      </c>
      <c r="O106" s="35">
        <v>60000</v>
      </c>
      <c r="P106" s="35">
        <v>60000</v>
      </c>
      <c r="Q106" s="35">
        <v>60000</v>
      </c>
      <c r="R106" s="35"/>
      <c r="S106" s="58"/>
      <c r="T106" s="58"/>
    </row>
    <row r="107" spans="1:20" s="15" customFormat="1" ht="26.25" customHeight="1" x14ac:dyDescent="0.2">
      <c r="A107" s="43" t="s">
        <v>974</v>
      </c>
      <c r="B107" s="46" t="s">
        <v>21</v>
      </c>
      <c r="C107" s="44" t="s">
        <v>984</v>
      </c>
      <c r="D107" s="47">
        <v>14381</v>
      </c>
      <c r="E107" s="46" t="s">
        <v>995</v>
      </c>
      <c r="F107" s="35">
        <v>6636</v>
      </c>
      <c r="G107" s="35">
        <v>6636</v>
      </c>
      <c r="H107" s="35">
        <v>0</v>
      </c>
      <c r="I107" s="35">
        <f t="shared" si="2"/>
        <v>6636</v>
      </c>
      <c r="J107" s="36">
        <f t="shared" si="3"/>
        <v>0</v>
      </c>
      <c r="K107" s="48" t="s">
        <v>14</v>
      </c>
      <c r="L107" s="48" t="s">
        <v>14</v>
      </c>
      <c r="M107" s="38">
        <v>42825</v>
      </c>
      <c r="N107" s="48"/>
      <c r="O107" s="35">
        <v>6636</v>
      </c>
      <c r="P107" s="35"/>
      <c r="Q107" s="35"/>
      <c r="R107" s="35"/>
      <c r="S107" s="58"/>
      <c r="T107" s="58"/>
    </row>
    <row r="108" spans="1:20" s="15" customFormat="1" ht="26.25" customHeight="1" x14ac:dyDescent="0.2">
      <c r="A108" s="43" t="s">
        <v>243</v>
      </c>
      <c r="B108" s="46" t="s">
        <v>21</v>
      </c>
      <c r="C108" s="44" t="s">
        <v>262</v>
      </c>
      <c r="D108" s="47">
        <v>13185</v>
      </c>
      <c r="E108" s="46" t="s">
        <v>78</v>
      </c>
      <c r="F108" s="35">
        <f>45482*3</f>
        <v>136446</v>
      </c>
      <c r="G108" s="35">
        <f>45482*3</f>
        <v>136446</v>
      </c>
      <c r="H108" s="35">
        <v>0</v>
      </c>
      <c r="I108" s="35">
        <f t="shared" si="2"/>
        <v>136446</v>
      </c>
      <c r="J108" s="36">
        <f t="shared" si="3"/>
        <v>0</v>
      </c>
      <c r="K108" s="48" t="s">
        <v>14</v>
      </c>
      <c r="L108" s="48" t="s">
        <v>14</v>
      </c>
      <c r="M108" s="38">
        <v>42916</v>
      </c>
      <c r="N108" s="48" t="s">
        <v>18</v>
      </c>
      <c r="O108" s="35">
        <v>45482</v>
      </c>
      <c r="P108" s="35">
        <v>45482</v>
      </c>
      <c r="Q108" s="35">
        <v>45482</v>
      </c>
      <c r="R108" s="35"/>
      <c r="S108" s="58"/>
      <c r="T108" s="58"/>
    </row>
    <row r="109" spans="1:20" s="15" customFormat="1" ht="26.25" customHeight="1" x14ac:dyDescent="0.2">
      <c r="A109" s="43" t="s">
        <v>709</v>
      </c>
      <c r="B109" s="46" t="s">
        <v>21</v>
      </c>
      <c r="C109" s="44" t="s">
        <v>262</v>
      </c>
      <c r="D109" s="47">
        <v>13866</v>
      </c>
      <c r="E109" s="46" t="s">
        <v>726</v>
      </c>
      <c r="F109" s="35">
        <v>30000</v>
      </c>
      <c r="G109" s="35">
        <v>30000</v>
      </c>
      <c r="H109" s="35">
        <v>0</v>
      </c>
      <c r="I109" s="35">
        <f t="shared" si="2"/>
        <v>30000</v>
      </c>
      <c r="J109" s="36">
        <f t="shared" si="3"/>
        <v>0</v>
      </c>
      <c r="K109" s="48" t="s">
        <v>14</v>
      </c>
      <c r="L109" s="48" t="s">
        <v>14</v>
      </c>
      <c r="M109" s="38">
        <v>42916</v>
      </c>
      <c r="N109" s="48"/>
      <c r="O109" s="35">
        <v>30000</v>
      </c>
      <c r="P109" s="35"/>
      <c r="Q109" s="35"/>
      <c r="R109" s="35"/>
      <c r="S109" s="58"/>
      <c r="T109" s="58"/>
    </row>
    <row r="110" spans="1:20" s="15" customFormat="1" ht="26.25" customHeight="1" x14ac:dyDescent="0.2">
      <c r="A110" s="43" t="s">
        <v>340</v>
      </c>
      <c r="B110" s="46" t="s">
        <v>21</v>
      </c>
      <c r="C110" s="44" t="s">
        <v>345</v>
      </c>
      <c r="D110" s="54">
        <v>13458</v>
      </c>
      <c r="E110" s="46" t="s">
        <v>349</v>
      </c>
      <c r="F110" s="35">
        <v>91404</v>
      </c>
      <c r="G110" s="40">
        <v>91404</v>
      </c>
      <c r="H110" s="35">
        <v>0</v>
      </c>
      <c r="I110" s="35">
        <f t="shared" si="2"/>
        <v>91404</v>
      </c>
      <c r="J110" s="36">
        <f t="shared" si="3"/>
        <v>0</v>
      </c>
      <c r="K110" s="48" t="s">
        <v>14</v>
      </c>
      <c r="L110" s="48" t="s">
        <v>15</v>
      </c>
      <c r="M110" s="38">
        <v>42674</v>
      </c>
      <c r="N110" s="48"/>
      <c r="O110" s="35">
        <v>91404</v>
      </c>
      <c r="P110" s="35"/>
      <c r="Q110" s="35"/>
      <c r="R110" s="35"/>
      <c r="S110" s="58"/>
      <c r="T110" s="58"/>
    </row>
    <row r="111" spans="1:20" s="15" customFormat="1" ht="26.25" customHeight="1" x14ac:dyDescent="0.2">
      <c r="A111" s="43" t="s">
        <v>680</v>
      </c>
      <c r="B111" s="46" t="s">
        <v>21</v>
      </c>
      <c r="C111" s="44" t="s">
        <v>345</v>
      </c>
      <c r="D111" s="47">
        <v>13871</v>
      </c>
      <c r="E111" s="46" t="s">
        <v>683</v>
      </c>
      <c r="F111" s="35">
        <v>72246</v>
      </c>
      <c r="G111" s="35">
        <v>72246</v>
      </c>
      <c r="H111" s="35">
        <v>0</v>
      </c>
      <c r="I111" s="35">
        <f t="shared" si="2"/>
        <v>72246</v>
      </c>
      <c r="J111" s="36">
        <f t="shared" si="3"/>
        <v>0</v>
      </c>
      <c r="K111" s="48" t="s">
        <v>14</v>
      </c>
      <c r="L111" s="48" t="s">
        <v>15</v>
      </c>
      <c r="M111" s="38">
        <v>42916</v>
      </c>
      <c r="N111" s="48"/>
      <c r="O111" s="35">
        <v>72246</v>
      </c>
      <c r="P111" s="35"/>
      <c r="Q111" s="35"/>
      <c r="R111" s="35"/>
      <c r="S111" s="58"/>
      <c r="T111" s="58"/>
    </row>
    <row r="112" spans="1:20" s="15" customFormat="1" ht="26.25" customHeight="1" x14ac:dyDescent="0.2">
      <c r="A112" s="43" t="s">
        <v>407</v>
      </c>
      <c r="B112" s="46" t="s">
        <v>21</v>
      </c>
      <c r="C112" s="44" t="s">
        <v>410</v>
      </c>
      <c r="D112" s="47">
        <v>13387</v>
      </c>
      <c r="E112" s="46" t="s">
        <v>412</v>
      </c>
      <c r="F112" s="35">
        <f>98000*3</f>
        <v>294000</v>
      </c>
      <c r="G112" s="35">
        <f>98000*3</f>
        <v>294000</v>
      </c>
      <c r="H112" s="35">
        <v>0</v>
      </c>
      <c r="I112" s="35">
        <f t="shared" si="2"/>
        <v>294000</v>
      </c>
      <c r="J112" s="36">
        <f t="shared" si="3"/>
        <v>0</v>
      </c>
      <c r="K112" s="48" t="s">
        <v>14</v>
      </c>
      <c r="L112" s="48" t="s">
        <v>14</v>
      </c>
      <c r="M112" s="38">
        <v>42916</v>
      </c>
      <c r="N112" s="48" t="s">
        <v>18</v>
      </c>
      <c r="O112" s="35">
        <v>98000</v>
      </c>
      <c r="P112" s="35">
        <v>98000</v>
      </c>
      <c r="Q112" s="35">
        <v>98000</v>
      </c>
      <c r="R112" s="35"/>
      <c r="S112" s="58"/>
      <c r="T112" s="58"/>
    </row>
    <row r="113" spans="1:20" s="15" customFormat="1" ht="26.25" customHeight="1" x14ac:dyDescent="0.2">
      <c r="A113" s="43" t="s">
        <v>191</v>
      </c>
      <c r="B113" s="46" t="s">
        <v>21</v>
      </c>
      <c r="C113" s="44" t="s">
        <v>204</v>
      </c>
      <c r="D113" s="34">
        <v>13009</v>
      </c>
      <c r="E113" s="46" t="s">
        <v>222</v>
      </c>
      <c r="F113" s="49">
        <f>90000*3</f>
        <v>270000</v>
      </c>
      <c r="G113" s="49">
        <f>90000*3</f>
        <v>270000</v>
      </c>
      <c r="H113" s="49">
        <v>0</v>
      </c>
      <c r="I113" s="35">
        <f t="shared" si="2"/>
        <v>270000</v>
      </c>
      <c r="J113" s="36">
        <f t="shared" si="3"/>
        <v>0</v>
      </c>
      <c r="K113" s="48" t="s">
        <v>14</v>
      </c>
      <c r="L113" s="48" t="s">
        <v>14</v>
      </c>
      <c r="M113" s="38">
        <v>42916</v>
      </c>
      <c r="N113" s="48" t="s">
        <v>18</v>
      </c>
      <c r="O113" s="41">
        <v>90000</v>
      </c>
      <c r="P113" s="41">
        <v>90000</v>
      </c>
      <c r="Q113" s="41">
        <v>90000</v>
      </c>
      <c r="R113" s="41"/>
      <c r="S113" s="58"/>
      <c r="T113" s="58"/>
    </row>
    <row r="114" spans="1:20" s="15" customFormat="1" ht="26.25" customHeight="1" x14ac:dyDescent="0.2">
      <c r="A114" s="43" t="s">
        <v>932</v>
      </c>
      <c r="B114" s="46" t="s">
        <v>21</v>
      </c>
      <c r="C114" s="44" t="s">
        <v>948</v>
      </c>
      <c r="D114" s="47">
        <v>14363</v>
      </c>
      <c r="E114" s="46" t="s">
        <v>951</v>
      </c>
      <c r="F114" s="35">
        <v>6820</v>
      </c>
      <c r="G114" s="35">
        <v>6820</v>
      </c>
      <c r="H114" s="35">
        <v>0</v>
      </c>
      <c r="I114" s="35">
        <f t="shared" si="2"/>
        <v>6820</v>
      </c>
      <c r="J114" s="36">
        <f t="shared" si="3"/>
        <v>0</v>
      </c>
      <c r="K114" s="48" t="s">
        <v>14</v>
      </c>
      <c r="L114" s="48" t="s">
        <v>15</v>
      </c>
      <c r="M114" s="38">
        <v>42916</v>
      </c>
      <c r="N114" s="48"/>
      <c r="O114" s="35">
        <v>6820</v>
      </c>
      <c r="P114" s="35"/>
      <c r="Q114" s="35"/>
      <c r="R114" s="35"/>
      <c r="S114" s="58"/>
      <c r="T114" s="58"/>
    </row>
    <row r="115" spans="1:20" s="15" customFormat="1" ht="18" customHeight="1" x14ac:dyDescent="0.2">
      <c r="A115" s="43" t="s">
        <v>735</v>
      </c>
      <c r="B115" s="46" t="s">
        <v>21</v>
      </c>
      <c r="C115" s="44" t="s">
        <v>741</v>
      </c>
      <c r="D115" s="47">
        <v>13889</v>
      </c>
      <c r="E115" s="46" t="s">
        <v>749</v>
      </c>
      <c r="F115" s="35">
        <f>50000*3</f>
        <v>150000</v>
      </c>
      <c r="G115" s="35">
        <f>50000*3</f>
        <v>150000</v>
      </c>
      <c r="H115" s="35">
        <v>0</v>
      </c>
      <c r="I115" s="35">
        <f t="shared" si="2"/>
        <v>150000</v>
      </c>
      <c r="J115" s="36">
        <f t="shared" si="3"/>
        <v>0</v>
      </c>
      <c r="K115" s="48" t="s">
        <v>14</v>
      </c>
      <c r="L115" s="48" t="s">
        <v>14</v>
      </c>
      <c r="M115" s="38">
        <v>42916</v>
      </c>
      <c r="N115" s="48" t="s">
        <v>18</v>
      </c>
      <c r="O115" s="35">
        <v>50000</v>
      </c>
      <c r="P115" s="35">
        <v>50000</v>
      </c>
      <c r="Q115" s="35">
        <v>50000</v>
      </c>
      <c r="R115" s="35"/>
      <c r="S115" s="58"/>
      <c r="T115" s="58"/>
    </row>
    <row r="116" spans="1:20" s="15" customFormat="1" ht="26.25" customHeight="1" x14ac:dyDescent="0.2">
      <c r="A116" s="43" t="s">
        <v>1053</v>
      </c>
      <c r="B116" s="46" t="s">
        <v>21</v>
      </c>
      <c r="C116" s="44" t="s">
        <v>1057</v>
      </c>
      <c r="D116" s="47">
        <v>14556</v>
      </c>
      <c r="E116" s="46" t="s">
        <v>1063</v>
      </c>
      <c r="F116" s="35">
        <f>99489+99489</f>
        <v>198978</v>
      </c>
      <c r="G116" s="35">
        <f>99489+99489</f>
        <v>198978</v>
      </c>
      <c r="H116" s="35">
        <v>0</v>
      </c>
      <c r="I116" s="35">
        <f t="shared" si="2"/>
        <v>198978</v>
      </c>
      <c r="J116" s="36">
        <f t="shared" si="3"/>
        <v>0</v>
      </c>
      <c r="K116" s="48" t="s">
        <v>15</v>
      </c>
      <c r="L116" s="48" t="s">
        <v>14</v>
      </c>
      <c r="M116" s="38">
        <v>43101</v>
      </c>
      <c r="N116" s="48" t="s">
        <v>18</v>
      </c>
      <c r="O116" s="35">
        <v>99489</v>
      </c>
      <c r="P116" s="35">
        <v>99489</v>
      </c>
      <c r="Q116" s="35"/>
      <c r="R116" s="35"/>
      <c r="S116" s="58"/>
      <c r="T116" s="58"/>
    </row>
    <row r="117" spans="1:20" s="15" customFormat="1" ht="26.25" customHeight="1" x14ac:dyDescent="0.2">
      <c r="A117" s="43" t="s">
        <v>446</v>
      </c>
      <c r="B117" s="46" t="s">
        <v>21</v>
      </c>
      <c r="C117" s="44" t="s">
        <v>452</v>
      </c>
      <c r="D117" s="47">
        <v>13548</v>
      </c>
      <c r="E117" s="46" t="s">
        <v>458</v>
      </c>
      <c r="F117" s="35">
        <v>54400</v>
      </c>
      <c r="G117" s="35">
        <v>54400</v>
      </c>
      <c r="H117" s="35">
        <v>0</v>
      </c>
      <c r="I117" s="35">
        <f t="shared" si="2"/>
        <v>54400</v>
      </c>
      <c r="J117" s="36">
        <f t="shared" si="3"/>
        <v>0</v>
      </c>
      <c r="K117" s="48" t="s">
        <v>15</v>
      </c>
      <c r="L117" s="48" t="s">
        <v>14</v>
      </c>
      <c r="M117" s="38">
        <v>43069</v>
      </c>
      <c r="N117" s="48"/>
      <c r="O117" s="35">
        <v>54400</v>
      </c>
      <c r="P117" s="35"/>
      <c r="Q117" s="35"/>
      <c r="R117" s="35"/>
      <c r="S117" s="58"/>
      <c r="T117" s="58"/>
    </row>
    <row r="118" spans="1:20" s="15" customFormat="1" ht="26.25" customHeight="1" x14ac:dyDescent="0.2">
      <c r="A118" s="43" t="s">
        <v>472</v>
      </c>
      <c r="B118" s="46" t="s">
        <v>21</v>
      </c>
      <c r="C118" s="44" t="s">
        <v>484</v>
      </c>
      <c r="D118" s="47">
        <v>12548</v>
      </c>
      <c r="E118" s="46" t="s">
        <v>498</v>
      </c>
      <c r="F118" s="35">
        <v>28300</v>
      </c>
      <c r="G118" s="35">
        <v>28300</v>
      </c>
      <c r="H118" s="35">
        <v>0</v>
      </c>
      <c r="I118" s="35">
        <f t="shared" si="2"/>
        <v>28300</v>
      </c>
      <c r="J118" s="36">
        <f t="shared" si="3"/>
        <v>0</v>
      </c>
      <c r="K118" s="48" t="s">
        <v>15</v>
      </c>
      <c r="L118" s="48" t="s">
        <v>14</v>
      </c>
      <c r="M118" s="38">
        <v>42861</v>
      </c>
      <c r="N118" s="48"/>
      <c r="O118" s="35">
        <v>28300</v>
      </c>
      <c r="P118" s="35"/>
      <c r="Q118" s="35"/>
      <c r="R118" s="35"/>
      <c r="S118" s="58"/>
      <c r="T118" s="58"/>
    </row>
    <row r="119" spans="1:20" s="15" customFormat="1" ht="26.25" customHeight="1" x14ac:dyDescent="0.2">
      <c r="A119" s="43" t="s">
        <v>114</v>
      </c>
      <c r="B119" s="46" t="s">
        <v>21</v>
      </c>
      <c r="C119" s="44" t="s">
        <v>127</v>
      </c>
      <c r="D119" s="47">
        <v>12891</v>
      </c>
      <c r="E119" s="46" t="s">
        <v>146</v>
      </c>
      <c r="F119" s="35">
        <f>40000*3</f>
        <v>120000</v>
      </c>
      <c r="G119" s="35">
        <f>40000*3</f>
        <v>120000</v>
      </c>
      <c r="H119" s="35">
        <v>0</v>
      </c>
      <c r="I119" s="49">
        <f t="shared" si="2"/>
        <v>120000</v>
      </c>
      <c r="J119" s="51">
        <f t="shared" si="3"/>
        <v>0</v>
      </c>
      <c r="K119" s="48" t="s">
        <v>14</v>
      </c>
      <c r="L119" s="48" t="s">
        <v>14</v>
      </c>
      <c r="M119" s="38">
        <v>42916</v>
      </c>
      <c r="N119" s="48" t="s">
        <v>18</v>
      </c>
      <c r="O119" s="35">
        <v>40000</v>
      </c>
      <c r="P119" s="35">
        <v>40000</v>
      </c>
      <c r="Q119" s="35">
        <v>40000</v>
      </c>
      <c r="R119" s="35"/>
      <c r="S119" s="58"/>
      <c r="T119" s="58"/>
    </row>
    <row r="120" spans="1:20" s="15" customFormat="1" ht="26.25" customHeight="1" x14ac:dyDescent="0.2">
      <c r="A120" s="43" t="s">
        <v>187</v>
      </c>
      <c r="B120" s="46" t="s">
        <v>21</v>
      </c>
      <c r="C120" s="44" t="s">
        <v>201</v>
      </c>
      <c r="D120" s="34">
        <v>12973</v>
      </c>
      <c r="E120" s="46" t="s">
        <v>218</v>
      </c>
      <c r="F120" s="35">
        <f>50000*3</f>
        <v>150000</v>
      </c>
      <c r="G120" s="35">
        <f>50000*3</f>
        <v>150000</v>
      </c>
      <c r="H120" s="35">
        <v>0</v>
      </c>
      <c r="I120" s="35">
        <f t="shared" si="2"/>
        <v>150000</v>
      </c>
      <c r="J120" s="36">
        <f t="shared" si="3"/>
        <v>0</v>
      </c>
      <c r="K120" s="48" t="s">
        <v>14</v>
      </c>
      <c r="L120" s="48" t="s">
        <v>14</v>
      </c>
      <c r="M120" s="38">
        <v>42916</v>
      </c>
      <c r="N120" s="48" t="s">
        <v>18</v>
      </c>
      <c r="O120" s="41">
        <v>50000</v>
      </c>
      <c r="P120" s="41">
        <v>50000</v>
      </c>
      <c r="Q120" s="41">
        <v>50000</v>
      </c>
      <c r="R120" s="41"/>
      <c r="S120" s="58"/>
      <c r="T120" s="58"/>
    </row>
    <row r="121" spans="1:20" s="15" customFormat="1" ht="26.25" customHeight="1" x14ac:dyDescent="0.2">
      <c r="A121" s="43" t="s">
        <v>186</v>
      </c>
      <c r="B121" s="46" t="s">
        <v>21</v>
      </c>
      <c r="C121" s="44" t="s">
        <v>76</v>
      </c>
      <c r="D121" s="34">
        <v>12972</v>
      </c>
      <c r="E121" s="46" t="s">
        <v>217</v>
      </c>
      <c r="F121" s="35">
        <f>50000*3</f>
        <v>150000</v>
      </c>
      <c r="G121" s="35">
        <f>50000*3</f>
        <v>150000</v>
      </c>
      <c r="H121" s="35">
        <v>0</v>
      </c>
      <c r="I121" s="35">
        <f t="shared" si="2"/>
        <v>150000</v>
      </c>
      <c r="J121" s="36">
        <f t="shared" si="3"/>
        <v>0</v>
      </c>
      <c r="K121" s="48" t="s">
        <v>14</v>
      </c>
      <c r="L121" s="48" t="s">
        <v>14</v>
      </c>
      <c r="M121" s="38">
        <v>42916</v>
      </c>
      <c r="N121" s="48" t="s">
        <v>18</v>
      </c>
      <c r="O121" s="41">
        <v>50000</v>
      </c>
      <c r="P121" s="41">
        <v>50000</v>
      </c>
      <c r="Q121" s="41">
        <v>50000</v>
      </c>
      <c r="R121" s="41"/>
      <c r="S121" s="58"/>
      <c r="T121" s="58"/>
    </row>
    <row r="122" spans="1:20" s="15" customFormat="1" ht="26.25" customHeight="1" x14ac:dyDescent="0.2">
      <c r="A122" s="43" t="s">
        <v>290</v>
      </c>
      <c r="B122" s="46" t="s">
        <v>21</v>
      </c>
      <c r="C122" s="44" t="s">
        <v>57</v>
      </c>
      <c r="D122" s="47">
        <v>13237</v>
      </c>
      <c r="E122" s="46" t="s">
        <v>299</v>
      </c>
      <c r="F122" s="35">
        <f>49900+49900</f>
        <v>99800</v>
      </c>
      <c r="G122" s="35">
        <v>49900</v>
      </c>
      <c r="H122" s="35">
        <f>49900*2</f>
        <v>99800</v>
      </c>
      <c r="I122" s="35">
        <f t="shared" si="2"/>
        <v>149700</v>
      </c>
      <c r="J122" s="36">
        <f t="shared" si="3"/>
        <v>2</v>
      </c>
      <c r="K122" s="48" t="s">
        <v>14</v>
      </c>
      <c r="L122" s="48" t="s">
        <v>14</v>
      </c>
      <c r="M122" s="38">
        <v>42916</v>
      </c>
      <c r="N122" s="48" t="s">
        <v>28</v>
      </c>
      <c r="O122" s="35">
        <v>49900</v>
      </c>
      <c r="P122" s="35">
        <v>49900</v>
      </c>
      <c r="Q122" s="35"/>
      <c r="R122" s="35"/>
      <c r="S122" s="58"/>
      <c r="T122" s="58"/>
    </row>
    <row r="123" spans="1:20" s="15" customFormat="1" ht="26.25" customHeight="1" x14ac:dyDescent="0.2">
      <c r="A123" s="43" t="s">
        <v>302</v>
      </c>
      <c r="B123" s="46" t="s">
        <v>21</v>
      </c>
      <c r="C123" s="44" t="s">
        <v>314</v>
      </c>
      <c r="D123" s="47">
        <v>13168</v>
      </c>
      <c r="E123" s="46" t="s">
        <v>325</v>
      </c>
      <c r="F123" s="35">
        <v>26994</v>
      </c>
      <c r="G123" s="35">
        <v>26994</v>
      </c>
      <c r="H123" s="35">
        <v>0</v>
      </c>
      <c r="I123" s="35">
        <f t="shared" si="2"/>
        <v>26994</v>
      </c>
      <c r="J123" s="36">
        <f t="shared" si="3"/>
        <v>0</v>
      </c>
      <c r="K123" s="48" t="s">
        <v>15</v>
      </c>
      <c r="L123" s="48" t="s">
        <v>15</v>
      </c>
      <c r="M123" s="38">
        <v>43708</v>
      </c>
      <c r="N123" s="48"/>
      <c r="O123" s="35">
        <v>26994</v>
      </c>
      <c r="P123" s="35"/>
      <c r="Q123" s="35"/>
      <c r="R123" s="35"/>
      <c r="S123" s="58"/>
      <c r="T123" s="58"/>
    </row>
    <row r="124" spans="1:20" s="15" customFormat="1" ht="26.25" customHeight="1" x14ac:dyDescent="0.2">
      <c r="A124" s="43" t="s">
        <v>899</v>
      </c>
      <c r="B124" s="46" t="s">
        <v>21</v>
      </c>
      <c r="C124" s="44" t="s">
        <v>903</v>
      </c>
      <c r="D124" s="47">
        <v>14237</v>
      </c>
      <c r="E124" s="46" t="s">
        <v>908</v>
      </c>
      <c r="F124" s="35">
        <f>48000*2</f>
        <v>96000</v>
      </c>
      <c r="G124" s="35">
        <f>48000*2</f>
        <v>96000</v>
      </c>
      <c r="H124" s="35">
        <v>0</v>
      </c>
      <c r="I124" s="35">
        <f t="shared" si="2"/>
        <v>96000</v>
      </c>
      <c r="J124" s="36">
        <f t="shared" si="3"/>
        <v>0</v>
      </c>
      <c r="K124" s="48" t="s">
        <v>14</v>
      </c>
      <c r="L124" s="48" t="s">
        <v>14</v>
      </c>
      <c r="M124" s="38">
        <v>42916</v>
      </c>
      <c r="N124" s="48" t="s">
        <v>18</v>
      </c>
      <c r="O124" s="35">
        <v>48000</v>
      </c>
      <c r="P124" s="35">
        <v>48000</v>
      </c>
      <c r="Q124" s="35"/>
      <c r="R124" s="35"/>
      <c r="S124" s="58"/>
      <c r="T124" s="58"/>
    </row>
    <row r="125" spans="1:20" s="15" customFormat="1" ht="26.25" customHeight="1" x14ac:dyDescent="0.2">
      <c r="A125" s="43" t="s">
        <v>188</v>
      </c>
      <c r="B125" s="46" t="s">
        <v>21</v>
      </c>
      <c r="C125" s="44" t="s">
        <v>202</v>
      </c>
      <c r="D125" s="34">
        <v>12974</v>
      </c>
      <c r="E125" s="46" t="s">
        <v>219</v>
      </c>
      <c r="F125" s="49">
        <f>90000*3</f>
        <v>270000</v>
      </c>
      <c r="G125" s="49">
        <f>90000*3</f>
        <v>270000</v>
      </c>
      <c r="H125" s="49">
        <v>0</v>
      </c>
      <c r="I125" s="35">
        <f t="shared" si="2"/>
        <v>270000</v>
      </c>
      <c r="J125" s="36">
        <f t="shared" si="3"/>
        <v>0</v>
      </c>
      <c r="K125" s="48" t="s">
        <v>14</v>
      </c>
      <c r="L125" s="48" t="s">
        <v>14</v>
      </c>
      <c r="M125" s="38">
        <v>42916</v>
      </c>
      <c r="N125" s="48" t="s">
        <v>18</v>
      </c>
      <c r="O125" s="41">
        <v>90000</v>
      </c>
      <c r="P125" s="41">
        <v>90000</v>
      </c>
      <c r="Q125" s="41">
        <v>90000</v>
      </c>
      <c r="R125" s="41"/>
      <c r="S125" s="58"/>
      <c r="T125" s="58"/>
    </row>
    <row r="126" spans="1:20" s="15" customFormat="1" ht="26.25" customHeight="1" x14ac:dyDescent="0.2">
      <c r="A126" s="43" t="s">
        <v>211</v>
      </c>
      <c r="B126" s="46" t="s">
        <v>21</v>
      </c>
      <c r="C126" s="44" t="s">
        <v>24</v>
      </c>
      <c r="D126" s="34">
        <v>12794</v>
      </c>
      <c r="E126" s="46" t="s">
        <v>231</v>
      </c>
      <c r="F126" s="35">
        <v>82794</v>
      </c>
      <c r="G126" s="40">
        <v>82794</v>
      </c>
      <c r="H126" s="35">
        <v>0</v>
      </c>
      <c r="I126" s="35">
        <f t="shared" si="2"/>
        <v>82794</v>
      </c>
      <c r="J126" s="36">
        <f t="shared" si="3"/>
        <v>0</v>
      </c>
      <c r="K126" s="48" t="s">
        <v>15</v>
      </c>
      <c r="L126" s="48" t="s">
        <v>15</v>
      </c>
      <c r="M126" s="38">
        <v>42916</v>
      </c>
      <c r="N126" s="48"/>
      <c r="O126" s="35">
        <v>82794</v>
      </c>
      <c r="P126" s="35"/>
      <c r="Q126" s="35"/>
      <c r="R126" s="35"/>
      <c r="S126" s="58"/>
      <c r="T126" s="58"/>
    </row>
    <row r="127" spans="1:20" s="15" customFormat="1" ht="26.25" customHeight="1" x14ac:dyDescent="0.2">
      <c r="A127" s="43" t="s">
        <v>338</v>
      </c>
      <c r="B127" s="46" t="s">
        <v>21</v>
      </c>
      <c r="C127" s="44" t="s">
        <v>56</v>
      </c>
      <c r="D127" s="47">
        <v>13258</v>
      </c>
      <c r="E127" s="46" t="s">
        <v>54</v>
      </c>
      <c r="F127" s="35">
        <f>60000*2</f>
        <v>120000</v>
      </c>
      <c r="G127" s="35">
        <f>60000*2</f>
        <v>120000</v>
      </c>
      <c r="H127" s="35">
        <v>0</v>
      </c>
      <c r="I127" s="35">
        <f t="shared" si="2"/>
        <v>120000</v>
      </c>
      <c r="J127" s="36">
        <f t="shared" si="3"/>
        <v>0</v>
      </c>
      <c r="K127" s="48" t="s">
        <v>14</v>
      </c>
      <c r="L127" s="48" t="s">
        <v>14</v>
      </c>
      <c r="M127" s="38">
        <v>42916</v>
      </c>
      <c r="N127" s="48" t="s">
        <v>18</v>
      </c>
      <c r="O127" s="35">
        <v>60000</v>
      </c>
      <c r="P127" s="35">
        <v>60000</v>
      </c>
      <c r="Q127" s="35"/>
      <c r="R127" s="35"/>
      <c r="S127" s="58"/>
      <c r="T127" s="58"/>
    </row>
    <row r="128" spans="1:20" s="15" customFormat="1" ht="26.25" customHeight="1" x14ac:dyDescent="0.2">
      <c r="A128" s="43" t="s">
        <v>249</v>
      </c>
      <c r="B128" s="46" t="s">
        <v>21</v>
      </c>
      <c r="C128" s="44" t="s">
        <v>267</v>
      </c>
      <c r="D128" s="47">
        <v>13223</v>
      </c>
      <c r="E128" s="46" t="s">
        <v>283</v>
      </c>
      <c r="F128" s="35">
        <v>17578</v>
      </c>
      <c r="G128" s="35">
        <v>17578</v>
      </c>
      <c r="H128" s="35">
        <v>0</v>
      </c>
      <c r="I128" s="35">
        <f t="shared" si="2"/>
        <v>17578</v>
      </c>
      <c r="J128" s="36">
        <f t="shared" si="3"/>
        <v>0</v>
      </c>
      <c r="K128" s="48" t="s">
        <v>14</v>
      </c>
      <c r="L128" s="48" t="s">
        <v>14</v>
      </c>
      <c r="M128" s="38">
        <v>42623</v>
      </c>
      <c r="N128" s="48"/>
      <c r="O128" s="35">
        <v>17578</v>
      </c>
      <c r="P128" s="35"/>
      <c r="Q128" s="35"/>
      <c r="R128" s="35"/>
      <c r="S128" s="58"/>
      <c r="T128" s="58"/>
    </row>
    <row r="129" spans="1:20" s="15" customFormat="1" ht="18" customHeight="1" x14ac:dyDescent="0.2">
      <c r="A129" s="43" t="s">
        <v>365</v>
      </c>
      <c r="B129" s="46" t="s">
        <v>21</v>
      </c>
      <c r="C129" s="44" t="s">
        <v>374</v>
      </c>
      <c r="D129" s="54">
        <v>13226</v>
      </c>
      <c r="E129" s="46" t="s">
        <v>380</v>
      </c>
      <c r="F129" s="35">
        <v>15960</v>
      </c>
      <c r="G129" s="40">
        <v>15960</v>
      </c>
      <c r="H129" s="35">
        <v>0</v>
      </c>
      <c r="I129" s="35">
        <f t="shared" si="2"/>
        <v>15960</v>
      </c>
      <c r="J129" s="36">
        <f t="shared" si="3"/>
        <v>0</v>
      </c>
      <c r="K129" s="48" t="s">
        <v>14</v>
      </c>
      <c r="L129" s="48" t="s">
        <v>15</v>
      </c>
      <c r="M129" s="38">
        <v>42916</v>
      </c>
      <c r="N129" s="48"/>
      <c r="O129" s="35">
        <v>15960</v>
      </c>
      <c r="P129" s="35"/>
      <c r="Q129" s="35"/>
      <c r="R129" s="35"/>
      <c r="S129" s="58"/>
      <c r="T129" s="58"/>
    </row>
    <row r="130" spans="1:20" s="15" customFormat="1" ht="26.25" customHeight="1" x14ac:dyDescent="0.2">
      <c r="A130" s="43" t="s">
        <v>546</v>
      </c>
      <c r="B130" s="46" t="s">
        <v>21</v>
      </c>
      <c r="C130" s="44" t="s">
        <v>557</v>
      </c>
      <c r="D130" s="47">
        <v>13679</v>
      </c>
      <c r="E130" s="46" t="s">
        <v>566</v>
      </c>
      <c r="F130" s="35">
        <v>49000</v>
      </c>
      <c r="G130" s="35">
        <v>49000</v>
      </c>
      <c r="H130" s="35">
        <v>0</v>
      </c>
      <c r="I130" s="35">
        <f t="shared" ref="I130:I193" si="4">G130+H130</f>
        <v>49000</v>
      </c>
      <c r="J130" s="36">
        <f t="shared" ref="J130:J193" si="5">IF(G130=0,100%,(I130-G130)/G130)</f>
        <v>0</v>
      </c>
      <c r="K130" s="48" t="s">
        <v>14</v>
      </c>
      <c r="L130" s="48" t="s">
        <v>15</v>
      </c>
      <c r="M130" s="38">
        <v>42916</v>
      </c>
      <c r="N130" s="48"/>
      <c r="O130" s="35">
        <v>49000</v>
      </c>
      <c r="P130" s="35"/>
      <c r="Q130" s="35"/>
      <c r="R130" s="35"/>
      <c r="S130" s="58"/>
      <c r="T130" s="58"/>
    </row>
    <row r="131" spans="1:20" s="15" customFormat="1" ht="26.25" customHeight="1" x14ac:dyDescent="0.2">
      <c r="A131" s="43" t="s">
        <v>1110</v>
      </c>
      <c r="B131" s="46" t="s">
        <v>21</v>
      </c>
      <c r="C131" s="44" t="s">
        <v>557</v>
      </c>
      <c r="D131" s="47">
        <v>14725</v>
      </c>
      <c r="E131" s="46" t="s">
        <v>1113</v>
      </c>
      <c r="F131" s="35">
        <v>45000</v>
      </c>
      <c r="G131" s="35">
        <v>49000</v>
      </c>
      <c r="H131" s="35">
        <v>45000</v>
      </c>
      <c r="I131" s="35">
        <f t="shared" si="4"/>
        <v>94000</v>
      </c>
      <c r="J131" s="36">
        <f t="shared" si="5"/>
        <v>0.91836734693877553</v>
      </c>
      <c r="K131" s="48" t="s">
        <v>14</v>
      </c>
      <c r="L131" s="48" t="s">
        <v>14</v>
      </c>
      <c r="M131" s="38">
        <v>42916</v>
      </c>
      <c r="N131" s="48" t="s">
        <v>28</v>
      </c>
      <c r="O131" s="35">
        <v>45000</v>
      </c>
      <c r="P131" s="35"/>
      <c r="Q131" s="35"/>
      <c r="R131" s="35"/>
      <c r="S131" s="58"/>
      <c r="T131" s="58"/>
    </row>
    <row r="132" spans="1:20" s="15" customFormat="1" ht="26.25" customHeight="1" x14ac:dyDescent="0.2">
      <c r="A132" s="43" t="s">
        <v>244</v>
      </c>
      <c r="B132" s="46" t="s">
        <v>21</v>
      </c>
      <c r="C132" s="44" t="s">
        <v>263</v>
      </c>
      <c r="D132" s="47">
        <v>13195</v>
      </c>
      <c r="E132" s="46" t="s">
        <v>279</v>
      </c>
      <c r="F132" s="35">
        <f>20000*3</f>
        <v>60000</v>
      </c>
      <c r="G132" s="35">
        <f>20000*3</f>
        <v>60000</v>
      </c>
      <c r="H132" s="35">
        <v>0</v>
      </c>
      <c r="I132" s="35">
        <f t="shared" si="4"/>
        <v>60000</v>
      </c>
      <c r="J132" s="36">
        <f t="shared" si="5"/>
        <v>0</v>
      </c>
      <c r="K132" s="48" t="s">
        <v>14</v>
      </c>
      <c r="L132" s="48" t="s">
        <v>14</v>
      </c>
      <c r="M132" s="38">
        <v>42916</v>
      </c>
      <c r="N132" s="48" t="s">
        <v>18</v>
      </c>
      <c r="O132" s="35">
        <v>20000</v>
      </c>
      <c r="P132" s="35">
        <v>20000</v>
      </c>
      <c r="Q132" s="35">
        <v>20000</v>
      </c>
      <c r="R132" s="35"/>
      <c r="S132" s="58"/>
      <c r="T132" s="58"/>
    </row>
    <row r="133" spans="1:20" s="15" customFormat="1" ht="26.25" customHeight="1" x14ac:dyDescent="0.2">
      <c r="A133" s="43" t="s">
        <v>86</v>
      </c>
      <c r="B133" s="45" t="s">
        <v>21</v>
      </c>
      <c r="C133" s="45" t="s">
        <v>77</v>
      </c>
      <c r="D133" s="54">
        <v>12737</v>
      </c>
      <c r="E133" s="46" t="s">
        <v>96</v>
      </c>
      <c r="F133" s="41">
        <v>65559</v>
      </c>
      <c r="G133" s="41">
        <v>65559</v>
      </c>
      <c r="H133" s="42">
        <v>0</v>
      </c>
      <c r="I133" s="49">
        <f t="shared" si="4"/>
        <v>65559</v>
      </c>
      <c r="J133" s="51">
        <f t="shared" si="5"/>
        <v>0</v>
      </c>
      <c r="K133" s="48" t="s">
        <v>14</v>
      </c>
      <c r="L133" s="48" t="s">
        <v>14</v>
      </c>
      <c r="M133" s="38">
        <v>42766</v>
      </c>
      <c r="N133" s="48"/>
      <c r="O133" s="41">
        <v>65559</v>
      </c>
      <c r="P133" s="41"/>
      <c r="Q133" s="41"/>
      <c r="R133" s="41"/>
      <c r="S133" s="57"/>
      <c r="T133" s="57"/>
    </row>
    <row r="134" spans="1:20" s="15" customFormat="1" ht="26.25" customHeight="1" x14ac:dyDescent="0.2">
      <c r="A134" s="43" t="s">
        <v>103</v>
      </c>
      <c r="B134" s="46" t="s">
        <v>21</v>
      </c>
      <c r="C134" s="44" t="s">
        <v>77</v>
      </c>
      <c r="D134" s="47">
        <v>12612</v>
      </c>
      <c r="E134" s="46" t="s">
        <v>136</v>
      </c>
      <c r="F134" s="35">
        <v>7674</v>
      </c>
      <c r="G134" s="35">
        <v>7674</v>
      </c>
      <c r="H134" s="35">
        <v>0</v>
      </c>
      <c r="I134" s="49">
        <f t="shared" si="4"/>
        <v>7674</v>
      </c>
      <c r="J134" s="51">
        <f t="shared" si="5"/>
        <v>0</v>
      </c>
      <c r="K134" s="48" t="s">
        <v>14</v>
      </c>
      <c r="L134" s="48" t="s">
        <v>14</v>
      </c>
      <c r="M134" s="38">
        <v>42727</v>
      </c>
      <c r="N134" s="48"/>
      <c r="O134" s="41">
        <v>7674</v>
      </c>
      <c r="P134" s="41"/>
      <c r="Q134" s="41"/>
      <c r="R134" s="41"/>
      <c r="S134" s="58"/>
      <c r="T134" s="58"/>
    </row>
    <row r="135" spans="1:20" s="15" customFormat="1" ht="26.25" customHeight="1" x14ac:dyDescent="0.2">
      <c r="A135" s="43" t="s">
        <v>155</v>
      </c>
      <c r="B135" s="46" t="s">
        <v>21</v>
      </c>
      <c r="C135" s="44" t="s">
        <v>77</v>
      </c>
      <c r="D135" s="47">
        <v>12371</v>
      </c>
      <c r="E135" s="46" t="s">
        <v>174</v>
      </c>
      <c r="F135" s="35">
        <v>11032</v>
      </c>
      <c r="G135" s="40">
        <v>11032</v>
      </c>
      <c r="H135" s="35">
        <v>0</v>
      </c>
      <c r="I135" s="49">
        <f t="shared" si="4"/>
        <v>11032</v>
      </c>
      <c r="J135" s="51">
        <f t="shared" si="5"/>
        <v>0</v>
      </c>
      <c r="K135" s="48" t="s">
        <v>15</v>
      </c>
      <c r="L135" s="48" t="s">
        <v>14</v>
      </c>
      <c r="M135" s="38">
        <v>42644</v>
      </c>
      <c r="N135" s="48"/>
      <c r="O135" s="41">
        <v>11032</v>
      </c>
      <c r="P135" s="41"/>
      <c r="Q135" s="41"/>
      <c r="R135" s="41"/>
      <c r="S135" s="58"/>
      <c r="T135" s="58"/>
    </row>
    <row r="136" spans="1:20" s="15" customFormat="1" ht="26.25" customHeight="1" x14ac:dyDescent="0.2">
      <c r="A136" s="43" t="s">
        <v>920</v>
      </c>
      <c r="B136" s="46" t="s">
        <v>21</v>
      </c>
      <c r="C136" s="44" t="s">
        <v>924</v>
      </c>
      <c r="D136" s="47">
        <v>14445</v>
      </c>
      <c r="E136" s="46" t="s">
        <v>927</v>
      </c>
      <c r="F136" s="35">
        <v>5895</v>
      </c>
      <c r="G136" s="35">
        <v>5895</v>
      </c>
      <c r="H136" s="35">
        <v>0</v>
      </c>
      <c r="I136" s="35">
        <f t="shared" si="4"/>
        <v>5895</v>
      </c>
      <c r="J136" s="36">
        <f t="shared" si="5"/>
        <v>0</v>
      </c>
      <c r="K136" s="48" t="s">
        <v>14</v>
      </c>
      <c r="L136" s="48" t="s">
        <v>14</v>
      </c>
      <c r="M136" s="38">
        <v>42734</v>
      </c>
      <c r="N136" s="48"/>
      <c r="O136" s="35">
        <v>5895</v>
      </c>
      <c r="P136" s="35"/>
      <c r="Q136" s="35"/>
      <c r="R136" s="35"/>
      <c r="S136" s="58"/>
      <c r="T136" s="58"/>
    </row>
    <row r="137" spans="1:20" s="15" customFormat="1" ht="26.25" customHeight="1" x14ac:dyDescent="0.2">
      <c r="A137" s="43" t="s">
        <v>921</v>
      </c>
      <c r="B137" s="46" t="s">
        <v>21</v>
      </c>
      <c r="C137" s="44" t="s">
        <v>924</v>
      </c>
      <c r="D137" s="47">
        <v>14458</v>
      </c>
      <c r="E137" s="46" t="s">
        <v>927</v>
      </c>
      <c r="F137" s="35">
        <v>11790</v>
      </c>
      <c r="G137" s="35">
        <v>11790</v>
      </c>
      <c r="H137" s="35">
        <v>0</v>
      </c>
      <c r="I137" s="35">
        <f t="shared" si="4"/>
        <v>11790</v>
      </c>
      <c r="J137" s="36">
        <f t="shared" si="5"/>
        <v>0</v>
      </c>
      <c r="K137" s="48" t="s">
        <v>14</v>
      </c>
      <c r="L137" s="48" t="s">
        <v>14</v>
      </c>
      <c r="M137" s="38">
        <v>42734</v>
      </c>
      <c r="N137" s="48"/>
      <c r="O137" s="35">
        <v>11790</v>
      </c>
      <c r="P137" s="35"/>
      <c r="Q137" s="35"/>
      <c r="R137" s="35"/>
      <c r="S137" s="58"/>
      <c r="T137" s="58"/>
    </row>
    <row r="138" spans="1:20" s="15" customFormat="1" ht="26.25" customHeight="1" x14ac:dyDescent="0.2">
      <c r="A138" s="43" t="s">
        <v>157</v>
      </c>
      <c r="B138" s="46" t="s">
        <v>21</v>
      </c>
      <c r="C138" s="44" t="s">
        <v>47</v>
      </c>
      <c r="D138" s="47">
        <v>13003</v>
      </c>
      <c r="E138" s="46" t="s">
        <v>175</v>
      </c>
      <c r="F138" s="35">
        <f>10000*3</f>
        <v>30000</v>
      </c>
      <c r="G138" s="35">
        <f>10000*3</f>
        <v>30000</v>
      </c>
      <c r="H138" s="35">
        <v>0</v>
      </c>
      <c r="I138" s="49">
        <f t="shared" si="4"/>
        <v>30000</v>
      </c>
      <c r="J138" s="51">
        <f t="shared" si="5"/>
        <v>0</v>
      </c>
      <c r="K138" s="48" t="s">
        <v>14</v>
      </c>
      <c r="L138" s="48" t="s">
        <v>14</v>
      </c>
      <c r="M138" s="38">
        <v>42916</v>
      </c>
      <c r="N138" s="48" t="s">
        <v>18</v>
      </c>
      <c r="O138" s="35">
        <v>10000</v>
      </c>
      <c r="P138" s="41">
        <v>10000</v>
      </c>
      <c r="Q138" s="41">
        <v>10000</v>
      </c>
      <c r="R138" s="41"/>
      <c r="S138" s="58"/>
      <c r="T138" s="58"/>
    </row>
    <row r="139" spans="1:20" s="15" customFormat="1" ht="26.25" customHeight="1" x14ac:dyDescent="0.2">
      <c r="A139" s="43" t="s">
        <v>942</v>
      </c>
      <c r="B139" s="46" t="s">
        <v>21</v>
      </c>
      <c r="C139" s="44" t="s">
        <v>958</v>
      </c>
      <c r="D139" s="47">
        <v>14365</v>
      </c>
      <c r="E139" s="46" t="s">
        <v>223</v>
      </c>
      <c r="F139" s="35">
        <f>98000*3</f>
        <v>294000</v>
      </c>
      <c r="G139" s="35">
        <f>F139</f>
        <v>294000</v>
      </c>
      <c r="H139" s="35">
        <v>0</v>
      </c>
      <c r="I139" s="35">
        <f t="shared" si="4"/>
        <v>294000</v>
      </c>
      <c r="J139" s="36">
        <f t="shared" si="5"/>
        <v>0</v>
      </c>
      <c r="K139" s="48" t="s">
        <v>14</v>
      </c>
      <c r="L139" s="48" t="s">
        <v>14</v>
      </c>
      <c r="M139" s="38">
        <v>42916</v>
      </c>
      <c r="N139" s="48" t="s">
        <v>18</v>
      </c>
      <c r="O139" s="35">
        <v>98000</v>
      </c>
      <c r="P139" s="35">
        <v>98000</v>
      </c>
      <c r="Q139" s="35">
        <v>98000</v>
      </c>
      <c r="R139" s="35"/>
      <c r="S139" s="58"/>
      <c r="T139" s="58"/>
    </row>
    <row r="140" spans="1:20" s="15" customFormat="1" ht="26.25" customHeight="1" x14ac:dyDescent="0.2">
      <c r="A140" s="43" t="s">
        <v>1023</v>
      </c>
      <c r="B140" s="46" t="s">
        <v>21</v>
      </c>
      <c r="C140" s="44" t="s">
        <v>1035</v>
      </c>
      <c r="D140" s="47">
        <v>14590</v>
      </c>
      <c r="E140" s="46" t="s">
        <v>1049</v>
      </c>
      <c r="F140" s="35">
        <f>43500+43500</f>
        <v>87000</v>
      </c>
      <c r="G140" s="35">
        <f>43500+43500</f>
        <v>87000</v>
      </c>
      <c r="H140" s="35">
        <v>0</v>
      </c>
      <c r="I140" s="35">
        <f t="shared" si="4"/>
        <v>87000</v>
      </c>
      <c r="J140" s="36">
        <f t="shared" si="5"/>
        <v>0</v>
      </c>
      <c r="K140" s="48" t="s">
        <v>14</v>
      </c>
      <c r="L140" s="48" t="s">
        <v>15</v>
      </c>
      <c r="M140" s="38">
        <v>43100</v>
      </c>
      <c r="N140" s="48" t="s">
        <v>18</v>
      </c>
      <c r="O140" s="35">
        <v>43500</v>
      </c>
      <c r="P140" s="35">
        <v>43500</v>
      </c>
      <c r="Q140" s="35"/>
      <c r="R140" s="35"/>
      <c r="S140" s="58"/>
      <c r="T140" s="58"/>
    </row>
    <row r="141" spans="1:20" s="15" customFormat="1" ht="26.25" customHeight="1" x14ac:dyDescent="0.2">
      <c r="A141" s="43" t="s">
        <v>1069</v>
      </c>
      <c r="B141" s="46" t="s">
        <v>21</v>
      </c>
      <c r="C141" s="44" t="s">
        <v>1073</v>
      </c>
      <c r="D141" s="47">
        <v>14585</v>
      </c>
      <c r="E141" s="46" t="s">
        <v>1080</v>
      </c>
      <c r="F141" s="35">
        <f>98000*3</f>
        <v>294000</v>
      </c>
      <c r="G141" s="35">
        <f>98000*3</f>
        <v>294000</v>
      </c>
      <c r="H141" s="35">
        <v>0</v>
      </c>
      <c r="I141" s="35">
        <f t="shared" si="4"/>
        <v>294000</v>
      </c>
      <c r="J141" s="36">
        <f t="shared" si="5"/>
        <v>0</v>
      </c>
      <c r="K141" s="48" t="s">
        <v>14</v>
      </c>
      <c r="L141" s="48" t="s">
        <v>14</v>
      </c>
      <c r="M141" s="38">
        <v>43281</v>
      </c>
      <c r="N141" s="48" t="s">
        <v>18</v>
      </c>
      <c r="O141" s="35">
        <v>98000</v>
      </c>
      <c r="P141" s="35">
        <v>98000</v>
      </c>
      <c r="Q141" s="35">
        <v>98000</v>
      </c>
      <c r="R141" s="35"/>
      <c r="S141" s="58"/>
      <c r="T141" s="58"/>
    </row>
    <row r="142" spans="1:20" s="15" customFormat="1" ht="26.25" customHeight="1" x14ac:dyDescent="0.2">
      <c r="A142" s="43" t="s">
        <v>335</v>
      </c>
      <c r="B142" s="46" t="s">
        <v>21</v>
      </c>
      <c r="C142" s="44" t="s">
        <v>342</v>
      </c>
      <c r="D142" s="47">
        <v>13248</v>
      </c>
      <c r="E142" s="46" t="s">
        <v>347</v>
      </c>
      <c r="F142" s="35">
        <f>98000*3</f>
        <v>294000</v>
      </c>
      <c r="G142" s="35">
        <f>98000*3</f>
        <v>294000</v>
      </c>
      <c r="H142" s="35">
        <v>0</v>
      </c>
      <c r="I142" s="35">
        <f t="shared" si="4"/>
        <v>294000</v>
      </c>
      <c r="J142" s="36">
        <f t="shared" si="5"/>
        <v>0</v>
      </c>
      <c r="K142" s="48" t="s">
        <v>14</v>
      </c>
      <c r="L142" s="48" t="s">
        <v>14</v>
      </c>
      <c r="M142" s="38">
        <v>42916</v>
      </c>
      <c r="N142" s="48" t="s">
        <v>18</v>
      </c>
      <c r="O142" s="35">
        <v>98000</v>
      </c>
      <c r="P142" s="35">
        <v>98000</v>
      </c>
      <c r="Q142" s="35">
        <v>98000</v>
      </c>
      <c r="R142" s="35"/>
      <c r="S142" s="58"/>
      <c r="T142" s="58"/>
    </row>
    <row r="143" spans="1:20" s="15" customFormat="1" ht="18" customHeight="1" x14ac:dyDescent="0.2">
      <c r="A143" s="43" t="s">
        <v>525</v>
      </c>
      <c r="B143" s="46" t="s">
        <v>21</v>
      </c>
      <c r="C143" s="44" t="s">
        <v>533</v>
      </c>
      <c r="D143" s="47">
        <v>13559</v>
      </c>
      <c r="E143" s="46" t="s">
        <v>540</v>
      </c>
      <c r="F143" s="35">
        <v>39672</v>
      </c>
      <c r="G143" s="35">
        <v>709650</v>
      </c>
      <c r="H143" s="35">
        <v>39672</v>
      </c>
      <c r="I143" s="35">
        <f t="shared" si="4"/>
        <v>749322</v>
      </c>
      <c r="J143" s="36">
        <f t="shared" si="5"/>
        <v>5.5903614457831326E-2</v>
      </c>
      <c r="K143" s="48" t="s">
        <v>14</v>
      </c>
      <c r="L143" s="48" t="s">
        <v>14</v>
      </c>
      <c r="M143" s="38">
        <v>42485</v>
      </c>
      <c r="N143" s="48" t="s">
        <v>28</v>
      </c>
      <c r="O143" s="35">
        <v>39672</v>
      </c>
      <c r="P143" s="35"/>
      <c r="Q143" s="35"/>
      <c r="R143" s="35"/>
      <c r="S143" s="58"/>
      <c r="T143" s="58"/>
    </row>
    <row r="144" spans="1:20" s="15" customFormat="1" ht="26.25" customHeight="1" x14ac:dyDescent="0.2">
      <c r="A144" s="43" t="s">
        <v>91</v>
      </c>
      <c r="B144" s="46" t="s">
        <v>21</v>
      </c>
      <c r="C144" s="44" t="s">
        <v>48</v>
      </c>
      <c r="D144" s="47">
        <v>12975</v>
      </c>
      <c r="E144" s="46" t="s">
        <v>100</v>
      </c>
      <c r="F144" s="49">
        <f>98000*3</f>
        <v>294000</v>
      </c>
      <c r="G144" s="49">
        <f>98000*3</f>
        <v>294000</v>
      </c>
      <c r="H144" s="35">
        <v>0</v>
      </c>
      <c r="I144" s="49">
        <f t="shared" si="4"/>
        <v>294000</v>
      </c>
      <c r="J144" s="51">
        <f t="shared" si="5"/>
        <v>0</v>
      </c>
      <c r="K144" s="48" t="s">
        <v>14</v>
      </c>
      <c r="L144" s="48" t="s">
        <v>15</v>
      </c>
      <c r="M144" s="38">
        <v>42916</v>
      </c>
      <c r="N144" s="48" t="s">
        <v>18</v>
      </c>
      <c r="O144" s="41">
        <v>98000</v>
      </c>
      <c r="P144" s="41">
        <v>98000</v>
      </c>
      <c r="Q144" s="41">
        <v>98000</v>
      </c>
      <c r="R144" s="41"/>
      <c r="S144" s="58"/>
      <c r="T144" s="58"/>
    </row>
    <row r="145" spans="1:20" s="15" customFormat="1" ht="26.25" customHeight="1" x14ac:dyDescent="0.2">
      <c r="A145" s="43" t="s">
        <v>1014</v>
      </c>
      <c r="B145" s="46" t="s">
        <v>21</v>
      </c>
      <c r="C145" s="44" t="s">
        <v>1028</v>
      </c>
      <c r="D145" s="47">
        <v>14593</v>
      </c>
      <c r="E145" s="46" t="s">
        <v>1039</v>
      </c>
      <c r="F145" s="35">
        <f>8055+10000+10000</f>
        <v>28055</v>
      </c>
      <c r="G145" s="35">
        <f>8055+10000+10000</f>
        <v>28055</v>
      </c>
      <c r="H145" s="35">
        <v>0</v>
      </c>
      <c r="I145" s="35">
        <f t="shared" si="4"/>
        <v>28055</v>
      </c>
      <c r="J145" s="36">
        <f t="shared" si="5"/>
        <v>0</v>
      </c>
      <c r="K145" s="48" t="s">
        <v>14</v>
      </c>
      <c r="L145" s="48" t="s">
        <v>14</v>
      </c>
      <c r="M145" s="38">
        <v>42765</v>
      </c>
      <c r="N145" s="48" t="s">
        <v>18</v>
      </c>
      <c r="O145" s="35">
        <v>8055</v>
      </c>
      <c r="P145" s="35">
        <v>10000</v>
      </c>
      <c r="Q145" s="35">
        <v>10000</v>
      </c>
      <c r="R145" s="35"/>
      <c r="S145" s="58"/>
      <c r="T145" s="58"/>
    </row>
    <row r="146" spans="1:20" s="15" customFormat="1" ht="26.25" customHeight="1" x14ac:dyDescent="0.2">
      <c r="A146" s="43" t="s">
        <v>87</v>
      </c>
      <c r="B146" s="46" t="s">
        <v>21</v>
      </c>
      <c r="C146" s="45" t="s">
        <v>93</v>
      </c>
      <c r="D146" s="54">
        <v>12776</v>
      </c>
      <c r="E146" s="46" t="s">
        <v>97</v>
      </c>
      <c r="F146" s="35">
        <f>99350*3</f>
        <v>298050</v>
      </c>
      <c r="G146" s="35">
        <f>99350*3</f>
        <v>298050</v>
      </c>
      <c r="H146" s="35">
        <v>0</v>
      </c>
      <c r="I146" s="49">
        <f t="shared" si="4"/>
        <v>298050</v>
      </c>
      <c r="J146" s="51">
        <f t="shared" si="5"/>
        <v>0</v>
      </c>
      <c r="K146" s="48" t="s">
        <v>14</v>
      </c>
      <c r="L146" s="48" t="s">
        <v>14</v>
      </c>
      <c r="M146" s="38">
        <v>42916</v>
      </c>
      <c r="N146" s="48" t="s">
        <v>18</v>
      </c>
      <c r="O146" s="41">
        <v>99350</v>
      </c>
      <c r="P146" s="41">
        <v>99350</v>
      </c>
      <c r="Q146" s="41">
        <v>99350</v>
      </c>
      <c r="R146" s="41"/>
      <c r="S146" s="58"/>
      <c r="T146" s="58"/>
    </row>
    <row r="147" spans="1:20" s="15" customFormat="1" ht="26.25" customHeight="1" x14ac:dyDescent="0.2">
      <c r="A147" s="43" t="s">
        <v>592</v>
      </c>
      <c r="B147" s="46" t="s">
        <v>21</v>
      </c>
      <c r="C147" s="44" t="s">
        <v>600</v>
      </c>
      <c r="D147" s="47">
        <v>13757</v>
      </c>
      <c r="E147" s="46" t="s">
        <v>606</v>
      </c>
      <c r="F147" s="35">
        <v>8485</v>
      </c>
      <c r="G147" s="35">
        <v>8485</v>
      </c>
      <c r="H147" s="35">
        <v>0</v>
      </c>
      <c r="I147" s="35">
        <f t="shared" si="4"/>
        <v>8485</v>
      </c>
      <c r="J147" s="36">
        <f t="shared" si="5"/>
        <v>0</v>
      </c>
      <c r="K147" s="48" t="s">
        <v>14</v>
      </c>
      <c r="L147" s="48" t="s">
        <v>15</v>
      </c>
      <c r="M147" s="38">
        <v>42825</v>
      </c>
      <c r="N147" s="48"/>
      <c r="O147" s="35">
        <v>8485</v>
      </c>
      <c r="P147" s="35"/>
      <c r="Q147" s="35"/>
      <c r="R147" s="35"/>
      <c r="S147" s="58"/>
      <c r="T147" s="58"/>
    </row>
    <row r="148" spans="1:20" s="15" customFormat="1" ht="26.25" customHeight="1" x14ac:dyDescent="0.2">
      <c r="A148" s="43" t="s">
        <v>609</v>
      </c>
      <c r="B148" s="46" t="s">
        <v>21</v>
      </c>
      <c r="C148" s="44" t="s">
        <v>612</v>
      </c>
      <c r="D148" s="47">
        <v>13753</v>
      </c>
      <c r="E148" s="46" t="s">
        <v>666</v>
      </c>
      <c r="F148" s="35">
        <v>95000</v>
      </c>
      <c r="G148" s="35">
        <v>95000</v>
      </c>
      <c r="H148" s="35">
        <v>0</v>
      </c>
      <c r="I148" s="35">
        <f t="shared" si="4"/>
        <v>95000</v>
      </c>
      <c r="J148" s="36">
        <f t="shared" si="5"/>
        <v>0</v>
      </c>
      <c r="K148" s="48" t="s">
        <v>14</v>
      </c>
      <c r="L148" s="48" t="s">
        <v>15</v>
      </c>
      <c r="M148" s="52">
        <v>42855</v>
      </c>
      <c r="N148" s="48"/>
      <c r="O148" s="35">
        <v>95000</v>
      </c>
      <c r="P148" s="35"/>
      <c r="Q148" s="35"/>
      <c r="R148" s="35"/>
      <c r="S148" s="58"/>
      <c r="T148" s="58"/>
    </row>
    <row r="149" spans="1:20" s="15" customFormat="1" ht="26.25" customHeight="1" x14ac:dyDescent="0.2">
      <c r="A149" s="43" t="s">
        <v>1002</v>
      </c>
      <c r="B149" s="46" t="s">
        <v>21</v>
      </c>
      <c r="C149" s="44" t="s">
        <v>612</v>
      </c>
      <c r="D149" s="47">
        <v>14467</v>
      </c>
      <c r="E149" s="46" t="s">
        <v>1008</v>
      </c>
      <c r="F149" s="35">
        <v>2485</v>
      </c>
      <c r="G149" s="35">
        <v>95000</v>
      </c>
      <c r="H149" s="35">
        <v>2485</v>
      </c>
      <c r="I149" s="35">
        <f t="shared" si="4"/>
        <v>97485</v>
      </c>
      <c r="J149" s="36">
        <f t="shared" si="5"/>
        <v>2.6157894736842106E-2</v>
      </c>
      <c r="K149" s="48" t="s">
        <v>14</v>
      </c>
      <c r="L149" s="48" t="s">
        <v>14</v>
      </c>
      <c r="M149" s="38">
        <v>42855</v>
      </c>
      <c r="N149" s="48" t="s">
        <v>28</v>
      </c>
      <c r="O149" s="35">
        <v>2485</v>
      </c>
      <c r="P149" s="35"/>
      <c r="Q149" s="35"/>
      <c r="R149" s="35"/>
      <c r="S149" s="58"/>
      <c r="T149" s="58"/>
    </row>
    <row r="150" spans="1:20" s="15" customFormat="1" ht="26.25" customHeight="1" x14ac:dyDescent="0.2">
      <c r="A150" s="43" t="s">
        <v>826</v>
      </c>
      <c r="B150" s="46" t="s">
        <v>21</v>
      </c>
      <c r="C150" s="44" t="s">
        <v>449</v>
      </c>
      <c r="D150" s="47">
        <v>13512</v>
      </c>
      <c r="E150" s="46" t="s">
        <v>455</v>
      </c>
      <c r="F150" s="35">
        <v>90700</v>
      </c>
      <c r="G150" s="35">
        <v>90700</v>
      </c>
      <c r="H150" s="35">
        <v>0</v>
      </c>
      <c r="I150" s="35">
        <f t="shared" si="4"/>
        <v>90700</v>
      </c>
      <c r="J150" s="36">
        <f t="shared" si="5"/>
        <v>0</v>
      </c>
      <c r="K150" s="48" t="s">
        <v>14</v>
      </c>
      <c r="L150" s="48" t="s">
        <v>14</v>
      </c>
      <c r="M150" s="38">
        <v>42916</v>
      </c>
      <c r="N150" s="48"/>
      <c r="O150" s="35">
        <v>90700</v>
      </c>
      <c r="P150" s="35"/>
      <c r="Q150" s="35"/>
      <c r="R150" s="35"/>
      <c r="S150" s="58"/>
      <c r="T150" s="58"/>
    </row>
    <row r="151" spans="1:20" s="15" customFormat="1" ht="26.25" customHeight="1" x14ac:dyDescent="0.2">
      <c r="A151" s="43" t="s">
        <v>595</v>
      </c>
      <c r="B151" s="46" t="s">
        <v>21</v>
      </c>
      <c r="C151" s="44" t="s">
        <v>603</v>
      </c>
      <c r="D151" s="47">
        <v>13788</v>
      </c>
      <c r="E151" s="46" t="s">
        <v>607</v>
      </c>
      <c r="F151" s="35">
        <v>20901</v>
      </c>
      <c r="G151" s="35">
        <v>20901</v>
      </c>
      <c r="H151" s="35">
        <v>0</v>
      </c>
      <c r="I151" s="35">
        <f t="shared" si="4"/>
        <v>20901</v>
      </c>
      <c r="J151" s="36">
        <f t="shared" si="5"/>
        <v>0</v>
      </c>
      <c r="K151" s="48" t="s">
        <v>14</v>
      </c>
      <c r="L151" s="48" t="s">
        <v>14</v>
      </c>
      <c r="M151" s="38">
        <v>42916</v>
      </c>
      <c r="N151" s="48"/>
      <c r="O151" s="35">
        <v>20901</v>
      </c>
      <c r="P151" s="35"/>
      <c r="Q151" s="35"/>
      <c r="R151" s="35"/>
      <c r="S151" s="58"/>
      <c r="T151" s="58"/>
    </row>
    <row r="152" spans="1:20" s="15" customFormat="1" ht="26.25" customHeight="1" x14ac:dyDescent="0.2">
      <c r="A152" s="43" t="s">
        <v>946</v>
      </c>
      <c r="B152" s="46" t="s">
        <v>21</v>
      </c>
      <c r="C152" s="44" t="s">
        <v>603</v>
      </c>
      <c r="D152" s="47">
        <v>14435</v>
      </c>
      <c r="E152" s="46" t="s">
        <v>607</v>
      </c>
      <c r="F152" s="35">
        <v>78585</v>
      </c>
      <c r="G152" s="35">
        <v>78585</v>
      </c>
      <c r="H152" s="35">
        <v>0</v>
      </c>
      <c r="I152" s="35">
        <f t="shared" si="4"/>
        <v>78585</v>
      </c>
      <c r="J152" s="36">
        <f t="shared" si="5"/>
        <v>0</v>
      </c>
      <c r="K152" s="48" t="s">
        <v>14</v>
      </c>
      <c r="L152" s="48" t="s">
        <v>14</v>
      </c>
      <c r="M152" s="38">
        <v>42914</v>
      </c>
      <c r="N152" s="48"/>
      <c r="O152" s="35">
        <v>78585</v>
      </c>
      <c r="P152" s="35"/>
      <c r="Q152" s="35"/>
      <c r="R152" s="35"/>
      <c r="S152" s="58"/>
      <c r="T152" s="58"/>
    </row>
    <row r="153" spans="1:20" s="15" customFormat="1" ht="26.25" customHeight="1" x14ac:dyDescent="0.2">
      <c r="A153" s="43" t="s">
        <v>1131</v>
      </c>
      <c r="B153" s="46" t="s">
        <v>21</v>
      </c>
      <c r="C153" s="44" t="s">
        <v>1132</v>
      </c>
      <c r="D153" s="47">
        <v>14699</v>
      </c>
      <c r="E153" s="46" t="s">
        <v>1134</v>
      </c>
      <c r="F153" s="35">
        <v>95000</v>
      </c>
      <c r="G153" s="35">
        <v>95000</v>
      </c>
      <c r="H153" s="35">
        <v>0</v>
      </c>
      <c r="I153" s="35">
        <f t="shared" si="4"/>
        <v>95000</v>
      </c>
      <c r="J153" s="36">
        <f t="shared" si="5"/>
        <v>0</v>
      </c>
      <c r="K153" s="48" t="s">
        <v>14</v>
      </c>
      <c r="L153" s="48" t="s">
        <v>14</v>
      </c>
      <c r="M153" s="38">
        <v>43265</v>
      </c>
      <c r="N153" s="48"/>
      <c r="O153" s="35">
        <v>95000</v>
      </c>
      <c r="P153" s="35"/>
      <c r="Q153" s="35"/>
      <c r="R153" s="35"/>
      <c r="S153" s="58"/>
      <c r="T153" s="58"/>
    </row>
    <row r="154" spans="1:20" s="15" customFormat="1" ht="26.25" customHeight="1" x14ac:dyDescent="0.2">
      <c r="A154" s="43" t="s">
        <v>545</v>
      </c>
      <c r="B154" s="46" t="s">
        <v>21</v>
      </c>
      <c r="C154" s="44" t="s">
        <v>556</v>
      </c>
      <c r="D154" s="47">
        <v>13678</v>
      </c>
      <c r="E154" s="46" t="s">
        <v>565</v>
      </c>
      <c r="F154" s="35">
        <f>25000*3</f>
        <v>75000</v>
      </c>
      <c r="G154" s="35">
        <f>25000*3</f>
        <v>75000</v>
      </c>
      <c r="H154" s="35">
        <v>0</v>
      </c>
      <c r="I154" s="35">
        <f t="shared" si="4"/>
        <v>75000</v>
      </c>
      <c r="J154" s="36">
        <f t="shared" si="5"/>
        <v>0</v>
      </c>
      <c r="K154" s="48" t="s">
        <v>14</v>
      </c>
      <c r="L154" s="48" t="s">
        <v>15</v>
      </c>
      <c r="M154" s="38">
        <v>42916</v>
      </c>
      <c r="N154" s="48" t="s">
        <v>18</v>
      </c>
      <c r="O154" s="35">
        <v>25000</v>
      </c>
      <c r="P154" s="35">
        <v>25000</v>
      </c>
      <c r="Q154" s="35">
        <v>25000</v>
      </c>
      <c r="R154" s="35"/>
      <c r="S154" s="58"/>
      <c r="T154" s="58"/>
    </row>
    <row r="155" spans="1:20" s="15" customFormat="1" ht="26.25" customHeight="1" x14ac:dyDescent="0.2">
      <c r="A155" s="43" t="s">
        <v>393</v>
      </c>
      <c r="B155" s="46" t="s">
        <v>21</v>
      </c>
      <c r="C155" s="44" t="s">
        <v>398</v>
      </c>
      <c r="D155" s="47">
        <v>13340</v>
      </c>
      <c r="E155" s="46" t="s">
        <v>405</v>
      </c>
      <c r="F155" s="35">
        <v>13869</v>
      </c>
      <c r="G155" s="35">
        <v>13869</v>
      </c>
      <c r="H155" s="35">
        <v>0</v>
      </c>
      <c r="I155" s="35">
        <f t="shared" si="4"/>
        <v>13869</v>
      </c>
      <c r="J155" s="36">
        <f t="shared" si="5"/>
        <v>0</v>
      </c>
      <c r="K155" s="48" t="s">
        <v>14</v>
      </c>
      <c r="L155" s="48" t="s">
        <v>14</v>
      </c>
      <c r="M155" s="38">
        <v>42916</v>
      </c>
      <c r="N155" s="48"/>
      <c r="O155" s="35">
        <v>13869</v>
      </c>
      <c r="P155" s="35"/>
      <c r="Q155" s="35"/>
      <c r="R155" s="35"/>
      <c r="S155" s="58"/>
      <c r="T155" s="58"/>
    </row>
    <row r="156" spans="1:20" s="15" customFormat="1" ht="26.25" customHeight="1" x14ac:dyDescent="0.2">
      <c r="A156" s="43" t="s">
        <v>288</v>
      </c>
      <c r="B156" s="46" t="s">
        <v>21</v>
      </c>
      <c r="C156" s="44" t="s">
        <v>292</v>
      </c>
      <c r="D156" s="47">
        <v>13194</v>
      </c>
      <c r="E156" s="46" t="s">
        <v>296</v>
      </c>
      <c r="F156" s="35">
        <f>90000*3</f>
        <v>270000</v>
      </c>
      <c r="G156" s="35">
        <f>90000*3</f>
        <v>270000</v>
      </c>
      <c r="H156" s="35">
        <v>0</v>
      </c>
      <c r="I156" s="35">
        <f t="shared" si="4"/>
        <v>270000</v>
      </c>
      <c r="J156" s="36">
        <f t="shared" si="5"/>
        <v>0</v>
      </c>
      <c r="K156" s="48" t="s">
        <v>14</v>
      </c>
      <c r="L156" s="48" t="s">
        <v>14</v>
      </c>
      <c r="M156" s="38">
        <v>42916</v>
      </c>
      <c r="N156" s="48" t="s">
        <v>18</v>
      </c>
      <c r="O156" s="35">
        <v>90000</v>
      </c>
      <c r="P156" s="35">
        <v>90000</v>
      </c>
      <c r="Q156" s="35">
        <v>90000</v>
      </c>
      <c r="R156" s="35"/>
      <c r="S156" s="58"/>
      <c r="T156" s="58"/>
    </row>
    <row r="157" spans="1:20" s="15" customFormat="1" ht="26.25" customHeight="1" x14ac:dyDescent="0.2">
      <c r="A157" s="43" t="s">
        <v>334</v>
      </c>
      <c r="B157" s="46" t="s">
        <v>21</v>
      </c>
      <c r="C157" s="44" t="s">
        <v>341</v>
      </c>
      <c r="D157" s="54">
        <v>13247</v>
      </c>
      <c r="E157" s="46" t="s">
        <v>346</v>
      </c>
      <c r="F157" s="35">
        <f>95000*3</f>
        <v>285000</v>
      </c>
      <c r="G157" s="35">
        <f>95000*3</f>
        <v>285000</v>
      </c>
      <c r="H157" s="35">
        <v>0</v>
      </c>
      <c r="I157" s="35">
        <f t="shared" si="4"/>
        <v>285000</v>
      </c>
      <c r="J157" s="36">
        <f t="shared" si="5"/>
        <v>0</v>
      </c>
      <c r="K157" s="48" t="s">
        <v>14</v>
      </c>
      <c r="L157" s="48" t="s">
        <v>14</v>
      </c>
      <c r="M157" s="38">
        <v>42916</v>
      </c>
      <c r="N157" s="48" t="s">
        <v>18</v>
      </c>
      <c r="O157" s="35">
        <v>95000</v>
      </c>
      <c r="P157" s="35">
        <v>95000</v>
      </c>
      <c r="Q157" s="35">
        <v>95000</v>
      </c>
      <c r="R157" s="35"/>
      <c r="S157" s="58"/>
      <c r="T157" s="58"/>
    </row>
    <row r="158" spans="1:20" s="15" customFormat="1" ht="26.25" customHeight="1" x14ac:dyDescent="0.2">
      <c r="A158" s="43" t="s">
        <v>1015</v>
      </c>
      <c r="B158" s="46" t="s">
        <v>21</v>
      </c>
      <c r="C158" s="44" t="s">
        <v>1029</v>
      </c>
      <c r="D158" s="47">
        <v>14244</v>
      </c>
      <c r="E158" s="46" t="s">
        <v>1041</v>
      </c>
      <c r="F158" s="35">
        <f>21324+4220+4642</f>
        <v>30186</v>
      </c>
      <c r="G158" s="35">
        <f>21324+4220+4642</f>
        <v>30186</v>
      </c>
      <c r="H158" s="35">
        <v>0</v>
      </c>
      <c r="I158" s="35">
        <f t="shared" si="4"/>
        <v>30186</v>
      </c>
      <c r="J158" s="36">
        <f t="shared" si="5"/>
        <v>0</v>
      </c>
      <c r="K158" s="48" t="s">
        <v>14</v>
      </c>
      <c r="L158" s="48" t="s">
        <v>14</v>
      </c>
      <c r="M158" s="38">
        <v>43131</v>
      </c>
      <c r="N158" s="48" t="s">
        <v>18</v>
      </c>
      <c r="O158" s="35">
        <v>21324</v>
      </c>
      <c r="P158" s="35">
        <v>4220</v>
      </c>
      <c r="Q158" s="35">
        <v>4642</v>
      </c>
      <c r="R158" s="35"/>
      <c r="S158" s="58"/>
      <c r="T158" s="58"/>
    </row>
    <row r="159" spans="1:20" s="15" customFormat="1" ht="26.25" customHeight="1" x14ac:dyDescent="0.2">
      <c r="A159" s="43" t="s">
        <v>626</v>
      </c>
      <c r="B159" s="46" t="s">
        <v>21</v>
      </c>
      <c r="C159" s="44" t="s">
        <v>641</v>
      </c>
      <c r="D159" s="47">
        <v>13787</v>
      </c>
      <c r="E159" s="46" t="s">
        <v>651</v>
      </c>
      <c r="F159" s="35">
        <v>18500</v>
      </c>
      <c r="G159" s="35">
        <v>18500</v>
      </c>
      <c r="H159" s="35">
        <v>0</v>
      </c>
      <c r="I159" s="35">
        <f t="shared" si="4"/>
        <v>18500</v>
      </c>
      <c r="J159" s="36">
        <f t="shared" si="5"/>
        <v>0</v>
      </c>
      <c r="K159" s="48" t="s">
        <v>15</v>
      </c>
      <c r="L159" s="48" t="s">
        <v>14</v>
      </c>
      <c r="M159" s="38">
        <v>42781</v>
      </c>
      <c r="N159" s="48"/>
      <c r="O159" s="35">
        <v>18500</v>
      </c>
      <c r="P159" s="35"/>
      <c r="Q159" s="35"/>
      <c r="R159" s="35"/>
      <c r="S159" s="58"/>
      <c r="T159" s="58"/>
    </row>
    <row r="160" spans="1:20" s="15" customFormat="1" ht="26.25" customHeight="1" x14ac:dyDescent="0.2">
      <c r="A160" s="43" t="s">
        <v>1150</v>
      </c>
      <c r="B160" s="46" t="s">
        <v>21</v>
      </c>
      <c r="C160" s="44" t="s">
        <v>641</v>
      </c>
      <c r="D160" s="47">
        <v>14478</v>
      </c>
      <c r="E160" s="46" t="s">
        <v>1168</v>
      </c>
      <c r="F160" s="35">
        <f>39800+39800</f>
        <v>79600</v>
      </c>
      <c r="G160" s="35">
        <f>39800+39800</f>
        <v>79600</v>
      </c>
      <c r="H160" s="35">
        <v>0</v>
      </c>
      <c r="I160" s="35">
        <f t="shared" si="4"/>
        <v>79600</v>
      </c>
      <c r="J160" s="36">
        <f t="shared" si="5"/>
        <v>0</v>
      </c>
      <c r="K160" s="48" t="s">
        <v>15</v>
      </c>
      <c r="L160" s="48" t="s">
        <v>15</v>
      </c>
      <c r="M160" s="38">
        <v>43010</v>
      </c>
      <c r="N160" s="48" t="s">
        <v>18</v>
      </c>
      <c r="O160" s="35"/>
      <c r="P160" s="35">
        <v>39800</v>
      </c>
      <c r="Q160" s="35">
        <v>39800</v>
      </c>
      <c r="R160" s="35"/>
      <c r="S160" s="58"/>
      <c r="T160" s="58"/>
    </row>
    <row r="161" spans="1:20" s="15" customFormat="1" ht="26.25" customHeight="1" x14ac:dyDescent="0.2">
      <c r="A161" s="43" t="s">
        <v>192</v>
      </c>
      <c r="B161" s="46" t="s">
        <v>21</v>
      </c>
      <c r="C161" s="44" t="s">
        <v>205</v>
      </c>
      <c r="D161" s="34">
        <v>13011</v>
      </c>
      <c r="E161" s="46" t="s">
        <v>223</v>
      </c>
      <c r="F161" s="49">
        <f>90000*3</f>
        <v>270000</v>
      </c>
      <c r="G161" s="49">
        <f>90000*3</f>
        <v>270000</v>
      </c>
      <c r="H161" s="49">
        <v>0</v>
      </c>
      <c r="I161" s="35">
        <f t="shared" si="4"/>
        <v>270000</v>
      </c>
      <c r="J161" s="36">
        <f t="shared" si="5"/>
        <v>0</v>
      </c>
      <c r="K161" s="48" t="s">
        <v>14</v>
      </c>
      <c r="L161" s="48" t="s">
        <v>14</v>
      </c>
      <c r="M161" s="38">
        <v>42916</v>
      </c>
      <c r="N161" s="48" t="s">
        <v>18</v>
      </c>
      <c r="O161" s="41">
        <v>90000</v>
      </c>
      <c r="P161" s="41">
        <v>90000</v>
      </c>
      <c r="Q161" s="41">
        <v>90000</v>
      </c>
      <c r="R161" s="41"/>
      <c r="S161" s="58"/>
      <c r="T161" s="58"/>
    </row>
    <row r="162" spans="1:20" s="15" customFormat="1" ht="26.25" customHeight="1" x14ac:dyDescent="0.2">
      <c r="A162" s="43" t="s">
        <v>1016</v>
      </c>
      <c r="B162" s="46" t="s">
        <v>21</v>
      </c>
      <c r="C162" s="44" t="s">
        <v>32</v>
      </c>
      <c r="D162" s="47">
        <v>14499</v>
      </c>
      <c r="E162" s="46" t="s">
        <v>1042</v>
      </c>
      <c r="F162" s="35">
        <f>8152*3</f>
        <v>24456</v>
      </c>
      <c r="G162" s="35">
        <f>8152*3</f>
        <v>24456</v>
      </c>
      <c r="H162" s="35">
        <v>0</v>
      </c>
      <c r="I162" s="35">
        <f t="shared" si="4"/>
        <v>24456</v>
      </c>
      <c r="J162" s="36">
        <f t="shared" si="5"/>
        <v>0</v>
      </c>
      <c r="K162" s="48" t="s">
        <v>14</v>
      </c>
      <c r="L162" s="48" t="s">
        <v>14</v>
      </c>
      <c r="M162" s="38">
        <v>43244</v>
      </c>
      <c r="N162" s="48" t="s">
        <v>18</v>
      </c>
      <c r="O162" s="35">
        <v>8152</v>
      </c>
      <c r="P162" s="35">
        <v>8152</v>
      </c>
      <c r="Q162" s="35">
        <v>8152</v>
      </c>
      <c r="R162" s="35"/>
      <c r="S162" s="58"/>
      <c r="T162" s="58"/>
    </row>
    <row r="163" spans="1:20" s="15" customFormat="1" ht="26.25" customHeight="1" x14ac:dyDescent="0.2">
      <c r="A163" s="43" t="s">
        <v>1153</v>
      </c>
      <c r="B163" s="46" t="s">
        <v>21</v>
      </c>
      <c r="C163" s="44" t="s">
        <v>32</v>
      </c>
      <c r="D163" s="47">
        <v>14710</v>
      </c>
      <c r="E163" s="46" t="s">
        <v>1171</v>
      </c>
      <c r="F163" s="35">
        <f>25829*3</f>
        <v>77487</v>
      </c>
      <c r="G163" s="35">
        <f>25829*3</f>
        <v>77487</v>
      </c>
      <c r="H163" s="35">
        <v>0</v>
      </c>
      <c r="I163" s="35">
        <f t="shared" si="4"/>
        <v>77487</v>
      </c>
      <c r="J163" s="36">
        <f t="shared" si="5"/>
        <v>0</v>
      </c>
      <c r="K163" s="48" t="s">
        <v>14</v>
      </c>
      <c r="L163" s="48" t="s">
        <v>15</v>
      </c>
      <c r="M163" s="38">
        <v>43244</v>
      </c>
      <c r="N163" s="48" t="s">
        <v>18</v>
      </c>
      <c r="O163" s="35">
        <v>25829</v>
      </c>
      <c r="P163" s="35">
        <v>25829</v>
      </c>
      <c r="Q163" s="35">
        <v>25829</v>
      </c>
      <c r="R163" s="35"/>
      <c r="S163" s="58"/>
      <c r="T163" s="58"/>
    </row>
    <row r="164" spans="1:20" s="15" customFormat="1" ht="26.25" customHeight="1" x14ac:dyDescent="0.2">
      <c r="A164" s="43" t="s">
        <v>469</v>
      </c>
      <c r="B164" s="46" t="s">
        <v>21</v>
      </c>
      <c r="C164" s="44" t="s">
        <v>481</v>
      </c>
      <c r="D164" s="47">
        <v>13517</v>
      </c>
      <c r="E164" s="46" t="s">
        <v>495</v>
      </c>
      <c r="F164" s="35">
        <v>6000</v>
      </c>
      <c r="G164" s="35">
        <v>6000</v>
      </c>
      <c r="H164" s="35">
        <v>0</v>
      </c>
      <c r="I164" s="35">
        <f t="shared" si="4"/>
        <v>6000</v>
      </c>
      <c r="J164" s="36">
        <f t="shared" si="5"/>
        <v>0</v>
      </c>
      <c r="K164" s="48" t="s">
        <v>14</v>
      </c>
      <c r="L164" s="48" t="s">
        <v>14</v>
      </c>
      <c r="M164" s="38">
        <v>42916</v>
      </c>
      <c r="N164" s="48"/>
      <c r="O164" s="35">
        <v>6000</v>
      </c>
      <c r="P164" s="35"/>
      <c r="Q164" s="35"/>
      <c r="R164" s="35"/>
      <c r="S164" s="58"/>
      <c r="T164" s="58"/>
    </row>
    <row r="165" spans="1:20" s="15" customFormat="1" ht="26.25" customHeight="1" x14ac:dyDescent="0.2">
      <c r="A165" s="43" t="s">
        <v>870</v>
      </c>
      <c r="B165" s="46" t="s">
        <v>21</v>
      </c>
      <c r="C165" s="44" t="s">
        <v>871</v>
      </c>
      <c r="D165" s="47">
        <v>14177</v>
      </c>
      <c r="E165" s="46" t="s">
        <v>872</v>
      </c>
      <c r="F165" s="35">
        <f>80000*3</f>
        <v>240000</v>
      </c>
      <c r="G165" s="35">
        <f>80000*3</f>
        <v>240000</v>
      </c>
      <c r="H165" s="35">
        <v>0</v>
      </c>
      <c r="I165" s="35">
        <f t="shared" si="4"/>
        <v>240000</v>
      </c>
      <c r="J165" s="36">
        <f t="shared" si="5"/>
        <v>0</v>
      </c>
      <c r="K165" s="48" t="s">
        <v>14</v>
      </c>
      <c r="L165" s="48" t="s">
        <v>15</v>
      </c>
      <c r="M165" s="38">
        <v>42916</v>
      </c>
      <c r="N165" s="48" t="s">
        <v>18</v>
      </c>
      <c r="O165" s="35">
        <v>80000</v>
      </c>
      <c r="P165" s="35">
        <v>80000</v>
      </c>
      <c r="Q165" s="35">
        <v>80000</v>
      </c>
      <c r="R165" s="35"/>
      <c r="S165" s="58"/>
      <c r="T165" s="58"/>
    </row>
    <row r="166" spans="1:20" s="15" customFormat="1" ht="26.25" customHeight="1" x14ac:dyDescent="0.2">
      <c r="A166" s="43" t="s">
        <v>442</v>
      </c>
      <c r="B166" s="46" t="s">
        <v>21</v>
      </c>
      <c r="C166" s="44" t="s">
        <v>448</v>
      </c>
      <c r="D166" s="47">
        <v>13486</v>
      </c>
      <c r="E166" s="46" t="s">
        <v>454</v>
      </c>
      <c r="F166" s="35">
        <v>50000</v>
      </c>
      <c r="G166" s="35">
        <v>50000</v>
      </c>
      <c r="H166" s="35">
        <v>0</v>
      </c>
      <c r="I166" s="35">
        <f t="shared" si="4"/>
        <v>50000</v>
      </c>
      <c r="J166" s="36">
        <f t="shared" si="5"/>
        <v>0</v>
      </c>
      <c r="K166" s="48" t="s">
        <v>15</v>
      </c>
      <c r="L166" s="48" t="s">
        <v>14</v>
      </c>
      <c r="M166" s="38">
        <v>43468</v>
      </c>
      <c r="N166" s="48"/>
      <c r="O166" s="35">
        <v>50000</v>
      </c>
      <c r="P166" s="35"/>
      <c r="Q166" s="35"/>
      <c r="R166" s="35"/>
      <c r="S166" s="58"/>
      <c r="T166" s="58"/>
    </row>
    <row r="167" spans="1:20" s="15" customFormat="1" ht="26.25" customHeight="1" x14ac:dyDescent="0.2">
      <c r="A167" s="43" t="s">
        <v>421</v>
      </c>
      <c r="B167" s="46" t="s">
        <v>21</v>
      </c>
      <c r="C167" s="44" t="s">
        <v>428</v>
      </c>
      <c r="D167" s="47">
        <v>13490</v>
      </c>
      <c r="E167" s="46" t="s">
        <v>435</v>
      </c>
      <c r="F167" s="35">
        <v>32000</v>
      </c>
      <c r="G167" s="35">
        <v>32000</v>
      </c>
      <c r="H167" s="35">
        <v>0</v>
      </c>
      <c r="I167" s="35">
        <f t="shared" si="4"/>
        <v>32000</v>
      </c>
      <c r="J167" s="36">
        <f t="shared" si="5"/>
        <v>0</v>
      </c>
      <c r="K167" s="48" t="s">
        <v>14</v>
      </c>
      <c r="L167" s="48" t="s">
        <v>14</v>
      </c>
      <c r="M167" s="38">
        <v>42766</v>
      </c>
      <c r="N167" s="48"/>
      <c r="O167" s="35">
        <v>32000</v>
      </c>
      <c r="P167" s="35"/>
      <c r="Q167" s="35"/>
      <c r="R167" s="35"/>
      <c r="S167" s="58"/>
      <c r="T167" s="58"/>
    </row>
    <row r="168" spans="1:20" s="15" customFormat="1" ht="26.25" customHeight="1" x14ac:dyDescent="0.2">
      <c r="A168" s="43" t="s">
        <v>839</v>
      </c>
      <c r="B168" s="46" t="s">
        <v>21</v>
      </c>
      <c r="C168" s="44" t="s">
        <v>847</v>
      </c>
      <c r="D168" s="47">
        <v>14120</v>
      </c>
      <c r="E168" s="46" t="s">
        <v>855</v>
      </c>
      <c r="F168" s="35">
        <v>15730</v>
      </c>
      <c r="G168" s="35">
        <v>15730</v>
      </c>
      <c r="H168" s="35">
        <v>0</v>
      </c>
      <c r="I168" s="35">
        <f t="shared" si="4"/>
        <v>15730</v>
      </c>
      <c r="J168" s="36">
        <f t="shared" si="5"/>
        <v>0</v>
      </c>
      <c r="K168" s="48" t="s">
        <v>14</v>
      </c>
      <c r="L168" s="48" t="s">
        <v>14</v>
      </c>
      <c r="M168" s="52">
        <v>42947</v>
      </c>
      <c r="N168" s="48"/>
      <c r="O168" s="35">
        <v>15730</v>
      </c>
      <c r="P168" s="35"/>
      <c r="Q168" s="35"/>
      <c r="R168" s="35"/>
      <c r="S168" s="58"/>
      <c r="T168" s="58"/>
    </row>
    <row r="169" spans="1:20" s="15" customFormat="1" ht="26.25" customHeight="1" x14ac:dyDescent="0.2">
      <c r="A169" s="43" t="s">
        <v>240</v>
      </c>
      <c r="B169" s="46" t="s">
        <v>21</v>
      </c>
      <c r="C169" s="44" t="s">
        <v>261</v>
      </c>
      <c r="D169" s="47">
        <v>13143</v>
      </c>
      <c r="E169" s="46" t="s">
        <v>276</v>
      </c>
      <c r="F169" s="35">
        <f>11659*3</f>
        <v>34977</v>
      </c>
      <c r="G169" s="35">
        <f>11659*3</f>
        <v>34977</v>
      </c>
      <c r="H169" s="35">
        <v>0</v>
      </c>
      <c r="I169" s="35">
        <f t="shared" si="4"/>
        <v>34977</v>
      </c>
      <c r="J169" s="36">
        <f t="shared" si="5"/>
        <v>0</v>
      </c>
      <c r="K169" s="48" t="s">
        <v>14</v>
      </c>
      <c r="L169" s="48" t="s">
        <v>14</v>
      </c>
      <c r="M169" s="38">
        <v>42916</v>
      </c>
      <c r="N169" s="48" t="s">
        <v>18</v>
      </c>
      <c r="O169" s="35">
        <v>11659</v>
      </c>
      <c r="P169" s="35">
        <v>11659</v>
      </c>
      <c r="Q169" s="35">
        <v>11659</v>
      </c>
      <c r="R169" s="35"/>
      <c r="S169" s="58"/>
      <c r="T169" s="58"/>
    </row>
    <row r="170" spans="1:20" s="15" customFormat="1" ht="26.25" customHeight="1" x14ac:dyDescent="0.2">
      <c r="A170" s="43" t="s">
        <v>241</v>
      </c>
      <c r="B170" s="46" t="s">
        <v>21</v>
      </c>
      <c r="C170" s="44" t="s">
        <v>261</v>
      </c>
      <c r="D170" s="47">
        <v>13145</v>
      </c>
      <c r="E170" s="46" t="s">
        <v>277</v>
      </c>
      <c r="F170" s="35">
        <f>10263*3</f>
        <v>30789</v>
      </c>
      <c r="G170" s="35">
        <f>10263*3</f>
        <v>30789</v>
      </c>
      <c r="H170" s="35">
        <v>0</v>
      </c>
      <c r="I170" s="35">
        <f t="shared" si="4"/>
        <v>30789</v>
      </c>
      <c r="J170" s="36">
        <f t="shared" si="5"/>
        <v>0</v>
      </c>
      <c r="K170" s="48" t="s">
        <v>14</v>
      </c>
      <c r="L170" s="48" t="s">
        <v>14</v>
      </c>
      <c r="M170" s="38">
        <v>42916</v>
      </c>
      <c r="N170" s="48" t="s">
        <v>18</v>
      </c>
      <c r="O170" s="35">
        <v>10263</v>
      </c>
      <c r="P170" s="35">
        <v>10263</v>
      </c>
      <c r="Q170" s="35">
        <v>10263</v>
      </c>
      <c r="R170" s="35"/>
      <c r="S170" s="58"/>
      <c r="T170" s="58"/>
    </row>
    <row r="171" spans="1:20" s="15" customFormat="1" ht="26.25" customHeight="1" x14ac:dyDescent="0.2">
      <c r="A171" s="43" t="s">
        <v>939</v>
      </c>
      <c r="B171" s="46" t="s">
        <v>21</v>
      </c>
      <c r="C171" s="44" t="s">
        <v>956</v>
      </c>
      <c r="D171" s="47">
        <v>14332</v>
      </c>
      <c r="E171" s="46" t="s">
        <v>966</v>
      </c>
      <c r="F171" s="35">
        <v>75000</v>
      </c>
      <c r="G171" s="35">
        <v>75000</v>
      </c>
      <c r="H171" s="35">
        <v>0</v>
      </c>
      <c r="I171" s="35">
        <f t="shared" si="4"/>
        <v>75000</v>
      </c>
      <c r="J171" s="36">
        <f t="shared" si="5"/>
        <v>0</v>
      </c>
      <c r="K171" s="48" t="s">
        <v>14</v>
      </c>
      <c r="L171" s="48" t="s">
        <v>15</v>
      </c>
      <c r="M171" s="38">
        <v>43040</v>
      </c>
      <c r="N171" s="48"/>
      <c r="O171" s="35">
        <v>75000</v>
      </c>
      <c r="P171" s="35"/>
      <c r="Q171" s="35"/>
      <c r="R171" s="35"/>
      <c r="S171" s="58"/>
      <c r="T171" s="58"/>
    </row>
    <row r="172" spans="1:20" s="15" customFormat="1" ht="26.25" customHeight="1" x14ac:dyDescent="0.2">
      <c r="A172" s="43" t="s">
        <v>1025</v>
      </c>
      <c r="B172" s="46" t="s">
        <v>21</v>
      </c>
      <c r="C172" s="44" t="s">
        <v>1037</v>
      </c>
      <c r="D172" s="47">
        <v>14603</v>
      </c>
      <c r="E172" s="46" t="s">
        <v>1050</v>
      </c>
      <c r="F172" s="35">
        <v>37050</v>
      </c>
      <c r="G172" s="35">
        <v>37050</v>
      </c>
      <c r="H172" s="35">
        <v>0</v>
      </c>
      <c r="I172" s="35">
        <f t="shared" si="4"/>
        <v>37050</v>
      </c>
      <c r="J172" s="36">
        <f t="shared" si="5"/>
        <v>0</v>
      </c>
      <c r="K172" s="48" t="s">
        <v>15</v>
      </c>
      <c r="L172" s="48" t="s">
        <v>15</v>
      </c>
      <c r="M172" s="38">
        <v>43235</v>
      </c>
      <c r="N172" s="48"/>
      <c r="O172" s="35">
        <v>37050</v>
      </c>
      <c r="P172" s="35"/>
      <c r="Q172" s="35"/>
      <c r="R172" s="35"/>
      <c r="S172" s="58"/>
      <c r="T172" s="58"/>
    </row>
    <row r="173" spans="1:20" s="15" customFormat="1" ht="26.25" customHeight="1" x14ac:dyDescent="0.2">
      <c r="A173" s="43" t="s">
        <v>934</v>
      </c>
      <c r="B173" s="46" t="s">
        <v>21</v>
      </c>
      <c r="C173" s="44" t="s">
        <v>952</v>
      </c>
      <c r="D173" s="47">
        <v>14238</v>
      </c>
      <c r="E173" s="46" t="s">
        <v>962</v>
      </c>
      <c r="F173" s="35">
        <f>60000*3</f>
        <v>180000</v>
      </c>
      <c r="G173" s="35">
        <f>60000*3</f>
        <v>180000</v>
      </c>
      <c r="H173" s="35">
        <v>0</v>
      </c>
      <c r="I173" s="35">
        <f t="shared" si="4"/>
        <v>180000</v>
      </c>
      <c r="J173" s="36">
        <f t="shared" si="5"/>
        <v>0</v>
      </c>
      <c r="K173" s="48" t="s">
        <v>14</v>
      </c>
      <c r="L173" s="48" t="s">
        <v>14</v>
      </c>
      <c r="M173" s="38">
        <v>42916</v>
      </c>
      <c r="N173" s="48" t="s">
        <v>18</v>
      </c>
      <c r="O173" s="35">
        <v>60000</v>
      </c>
      <c r="P173" s="35">
        <v>60000</v>
      </c>
      <c r="Q173" s="35">
        <v>60000</v>
      </c>
      <c r="R173" s="35"/>
      <c r="S173" s="58"/>
      <c r="T173" s="58"/>
    </row>
    <row r="174" spans="1:20" s="15" customFormat="1" ht="26.25" customHeight="1" x14ac:dyDescent="0.2">
      <c r="A174" s="43" t="s">
        <v>408</v>
      </c>
      <c r="B174" s="46" t="s">
        <v>21</v>
      </c>
      <c r="C174" s="44" t="s">
        <v>411</v>
      </c>
      <c r="D174" s="47">
        <v>13447</v>
      </c>
      <c r="E174" s="46" t="s">
        <v>413</v>
      </c>
      <c r="F174" s="35">
        <v>98000</v>
      </c>
      <c r="G174" s="35">
        <v>98000</v>
      </c>
      <c r="H174" s="35">
        <v>0</v>
      </c>
      <c r="I174" s="35">
        <f t="shared" si="4"/>
        <v>98000</v>
      </c>
      <c r="J174" s="36">
        <f t="shared" si="5"/>
        <v>0</v>
      </c>
      <c r="K174" s="48" t="s">
        <v>14</v>
      </c>
      <c r="L174" s="48" t="s">
        <v>15</v>
      </c>
      <c r="M174" s="38">
        <v>42794</v>
      </c>
      <c r="N174" s="48"/>
      <c r="O174" s="35">
        <v>98000</v>
      </c>
      <c r="P174" s="35"/>
      <c r="Q174" s="35"/>
      <c r="R174" s="35"/>
      <c r="S174" s="58"/>
      <c r="T174" s="58"/>
    </row>
    <row r="175" spans="1:20" s="15" customFormat="1" ht="26.25" customHeight="1" x14ac:dyDescent="0.2">
      <c r="A175" s="43" t="s">
        <v>504</v>
      </c>
      <c r="B175" s="46" t="s">
        <v>21</v>
      </c>
      <c r="C175" s="44" t="s">
        <v>511</v>
      </c>
      <c r="D175" s="47">
        <v>13574</v>
      </c>
      <c r="E175" s="46" t="s">
        <v>517</v>
      </c>
      <c r="F175" s="35">
        <f>99000*3</f>
        <v>297000</v>
      </c>
      <c r="G175" s="35">
        <f>99000*3</f>
        <v>297000</v>
      </c>
      <c r="H175" s="35">
        <v>0</v>
      </c>
      <c r="I175" s="35">
        <f t="shared" si="4"/>
        <v>297000</v>
      </c>
      <c r="J175" s="36">
        <f t="shared" si="5"/>
        <v>0</v>
      </c>
      <c r="K175" s="48" t="s">
        <v>14</v>
      </c>
      <c r="L175" s="48" t="s">
        <v>14</v>
      </c>
      <c r="M175" s="38">
        <v>42916</v>
      </c>
      <c r="N175" s="48" t="s">
        <v>18</v>
      </c>
      <c r="O175" s="35">
        <v>99000</v>
      </c>
      <c r="P175" s="35">
        <v>99000</v>
      </c>
      <c r="Q175" s="35">
        <v>99000</v>
      </c>
      <c r="R175" s="35"/>
      <c r="S175" s="58"/>
      <c r="T175" s="58"/>
    </row>
    <row r="176" spans="1:20" s="15" customFormat="1" ht="26.25" customHeight="1" x14ac:dyDescent="0.2">
      <c r="A176" s="43" t="s">
        <v>734</v>
      </c>
      <c r="B176" s="46" t="s">
        <v>21</v>
      </c>
      <c r="C176" s="44" t="s">
        <v>511</v>
      </c>
      <c r="D176" s="47">
        <v>13883</v>
      </c>
      <c r="E176" s="46" t="s">
        <v>751</v>
      </c>
      <c r="F176" s="35">
        <f>90000*3</f>
        <v>270000</v>
      </c>
      <c r="G176" s="35">
        <f>90000*3</f>
        <v>270000</v>
      </c>
      <c r="H176" s="35">
        <v>0</v>
      </c>
      <c r="I176" s="35">
        <f t="shared" si="4"/>
        <v>270000</v>
      </c>
      <c r="J176" s="36">
        <f t="shared" si="5"/>
        <v>0</v>
      </c>
      <c r="K176" s="48" t="s">
        <v>15</v>
      </c>
      <c r="L176" s="48" t="s">
        <v>15</v>
      </c>
      <c r="M176" s="38">
        <v>43190</v>
      </c>
      <c r="N176" s="48" t="s">
        <v>18</v>
      </c>
      <c r="O176" s="35">
        <v>90000</v>
      </c>
      <c r="P176" s="35">
        <v>90000</v>
      </c>
      <c r="Q176" s="35">
        <v>90000</v>
      </c>
      <c r="R176" s="35"/>
      <c r="S176" s="58"/>
      <c r="T176" s="58"/>
    </row>
    <row r="177" spans="1:20" s="15" customFormat="1" ht="26.25" customHeight="1" x14ac:dyDescent="0.2">
      <c r="A177" s="43" t="s">
        <v>933</v>
      </c>
      <c r="B177" s="46" t="s">
        <v>21</v>
      </c>
      <c r="C177" s="44" t="s">
        <v>511</v>
      </c>
      <c r="D177" s="47">
        <v>14057</v>
      </c>
      <c r="E177" s="46" t="s">
        <v>1184</v>
      </c>
      <c r="F177" s="35">
        <f>99000*3</f>
        <v>297000</v>
      </c>
      <c r="G177" s="35">
        <f>99000*3</f>
        <v>297000</v>
      </c>
      <c r="H177" s="35">
        <v>0</v>
      </c>
      <c r="I177" s="35">
        <f t="shared" si="4"/>
        <v>297000</v>
      </c>
      <c r="J177" s="36">
        <f t="shared" si="5"/>
        <v>0</v>
      </c>
      <c r="K177" s="48" t="s">
        <v>14</v>
      </c>
      <c r="L177" s="48" t="s">
        <v>14</v>
      </c>
      <c r="M177" s="38">
        <v>42916</v>
      </c>
      <c r="N177" s="48" t="s">
        <v>18</v>
      </c>
      <c r="O177" s="35">
        <v>99000</v>
      </c>
      <c r="P177" s="35">
        <v>99000</v>
      </c>
      <c r="Q177" s="35">
        <v>99000</v>
      </c>
      <c r="R177" s="35"/>
      <c r="S177" s="58"/>
      <c r="T177" s="58"/>
    </row>
    <row r="178" spans="1:20" s="15" customFormat="1" ht="26.25" customHeight="1" x14ac:dyDescent="0.2">
      <c r="A178" s="43" t="s">
        <v>941</v>
      </c>
      <c r="B178" s="46" t="s">
        <v>21</v>
      </c>
      <c r="C178" s="44" t="s">
        <v>957</v>
      </c>
      <c r="D178" s="47">
        <v>14364</v>
      </c>
      <c r="E178" s="46" t="s">
        <v>968</v>
      </c>
      <c r="F178" s="35">
        <f>98000*3</f>
        <v>294000</v>
      </c>
      <c r="G178" s="35">
        <f>F178</f>
        <v>294000</v>
      </c>
      <c r="H178" s="35">
        <v>0</v>
      </c>
      <c r="I178" s="35">
        <f t="shared" si="4"/>
        <v>294000</v>
      </c>
      <c r="J178" s="36">
        <f t="shared" si="5"/>
        <v>0</v>
      </c>
      <c r="K178" s="48" t="s">
        <v>14</v>
      </c>
      <c r="L178" s="48" t="s">
        <v>14</v>
      </c>
      <c r="M178" s="38">
        <v>42916</v>
      </c>
      <c r="N178" s="48" t="s">
        <v>18</v>
      </c>
      <c r="O178" s="35">
        <v>98000</v>
      </c>
      <c r="P178" s="35">
        <v>98000</v>
      </c>
      <c r="Q178" s="35">
        <v>98000</v>
      </c>
      <c r="R178" s="35"/>
      <c r="S178" s="58"/>
      <c r="T178" s="58"/>
    </row>
    <row r="179" spans="1:20" s="15" customFormat="1" ht="26.25" customHeight="1" x14ac:dyDescent="0.2">
      <c r="A179" s="43" t="s">
        <v>104</v>
      </c>
      <c r="B179" s="46" t="s">
        <v>21</v>
      </c>
      <c r="C179" s="44" t="s">
        <v>84</v>
      </c>
      <c r="D179" s="47">
        <v>12675</v>
      </c>
      <c r="E179" s="46" t="s">
        <v>154</v>
      </c>
      <c r="F179" s="35">
        <v>30163</v>
      </c>
      <c r="G179" s="40">
        <v>30163</v>
      </c>
      <c r="H179" s="35">
        <v>0</v>
      </c>
      <c r="I179" s="49">
        <f t="shared" si="4"/>
        <v>30163</v>
      </c>
      <c r="J179" s="51">
        <f t="shared" si="5"/>
        <v>0</v>
      </c>
      <c r="K179" s="48" t="s">
        <v>14</v>
      </c>
      <c r="L179" s="48" t="s">
        <v>14</v>
      </c>
      <c r="M179" s="38">
        <v>42766</v>
      </c>
      <c r="N179" s="48"/>
      <c r="O179" s="41">
        <v>30163</v>
      </c>
      <c r="P179" s="41"/>
      <c r="Q179" s="41"/>
      <c r="R179" s="41"/>
      <c r="S179" s="58"/>
      <c r="T179" s="58"/>
    </row>
    <row r="180" spans="1:20" s="15" customFormat="1" ht="26.25" customHeight="1" x14ac:dyDescent="0.2">
      <c r="A180" s="43" t="s">
        <v>678</v>
      </c>
      <c r="B180" s="46" t="s">
        <v>21</v>
      </c>
      <c r="C180" s="44" t="s">
        <v>684</v>
      </c>
      <c r="D180" s="47">
        <v>13388</v>
      </c>
      <c r="E180" s="46" t="s">
        <v>681</v>
      </c>
      <c r="F180" s="35">
        <f>98000*3</f>
        <v>294000</v>
      </c>
      <c r="G180" s="35">
        <f>98000*3</f>
        <v>294000</v>
      </c>
      <c r="H180" s="35">
        <v>0</v>
      </c>
      <c r="I180" s="35">
        <f t="shared" si="4"/>
        <v>294000</v>
      </c>
      <c r="J180" s="36">
        <f t="shared" si="5"/>
        <v>0</v>
      </c>
      <c r="K180" s="48" t="s">
        <v>14</v>
      </c>
      <c r="L180" s="48" t="s">
        <v>14</v>
      </c>
      <c r="M180" s="38">
        <v>42916</v>
      </c>
      <c r="N180" s="48" t="s">
        <v>18</v>
      </c>
      <c r="O180" s="35">
        <v>98000</v>
      </c>
      <c r="P180" s="35">
        <v>98000</v>
      </c>
      <c r="Q180" s="35">
        <v>98000</v>
      </c>
      <c r="R180" s="35"/>
      <c r="S180" s="58"/>
      <c r="T180" s="58"/>
    </row>
    <row r="181" spans="1:20" s="15" customFormat="1" ht="26.25" customHeight="1" x14ac:dyDescent="0.2">
      <c r="A181" s="43" t="s">
        <v>935</v>
      </c>
      <c r="B181" s="46" t="s">
        <v>21</v>
      </c>
      <c r="C181" s="44" t="s">
        <v>953</v>
      </c>
      <c r="D181" s="47">
        <v>14260</v>
      </c>
      <c r="E181" s="46" t="s">
        <v>963</v>
      </c>
      <c r="F181" s="35">
        <v>87879</v>
      </c>
      <c r="G181" s="35">
        <v>87879</v>
      </c>
      <c r="H181" s="35">
        <v>0</v>
      </c>
      <c r="I181" s="35">
        <f t="shared" si="4"/>
        <v>87879</v>
      </c>
      <c r="J181" s="36">
        <f t="shared" si="5"/>
        <v>0</v>
      </c>
      <c r="K181" s="48" t="s">
        <v>14</v>
      </c>
      <c r="L181" s="48" t="s">
        <v>15</v>
      </c>
      <c r="M181" s="38">
        <v>43008</v>
      </c>
      <c r="N181" s="48"/>
      <c r="O181" s="35">
        <v>87879</v>
      </c>
      <c r="P181" s="35"/>
      <c r="Q181" s="35"/>
      <c r="R181" s="35"/>
      <c r="S181" s="58"/>
      <c r="T181" s="58"/>
    </row>
    <row r="182" spans="1:20" s="15" customFormat="1" ht="26.25" customHeight="1" x14ac:dyDescent="0.2">
      <c r="A182" s="43" t="s">
        <v>336</v>
      </c>
      <c r="B182" s="46" t="s">
        <v>21</v>
      </c>
      <c r="C182" s="44" t="s">
        <v>343</v>
      </c>
      <c r="D182" s="47">
        <v>13249</v>
      </c>
      <c r="E182" s="46" t="s">
        <v>347</v>
      </c>
      <c r="F182" s="35">
        <f>98000*3</f>
        <v>294000</v>
      </c>
      <c r="G182" s="35">
        <f>98000*3</f>
        <v>294000</v>
      </c>
      <c r="H182" s="35">
        <v>0</v>
      </c>
      <c r="I182" s="35">
        <f t="shared" si="4"/>
        <v>294000</v>
      </c>
      <c r="J182" s="36">
        <f t="shared" si="5"/>
        <v>0</v>
      </c>
      <c r="K182" s="48" t="s">
        <v>14</v>
      </c>
      <c r="L182" s="48" t="s">
        <v>14</v>
      </c>
      <c r="M182" s="38">
        <v>42916</v>
      </c>
      <c r="N182" s="48" t="s">
        <v>18</v>
      </c>
      <c r="O182" s="35">
        <v>98000</v>
      </c>
      <c r="P182" s="35">
        <v>98000</v>
      </c>
      <c r="Q182" s="35">
        <v>98000</v>
      </c>
      <c r="R182" s="35"/>
      <c r="S182" s="58"/>
      <c r="T182" s="58"/>
    </row>
    <row r="183" spans="1:20" s="15" customFormat="1" ht="26.25" customHeight="1" x14ac:dyDescent="0.2">
      <c r="A183" s="43" t="s">
        <v>828</v>
      </c>
      <c r="B183" s="46" t="s">
        <v>19</v>
      </c>
      <c r="C183" s="44" t="s">
        <v>831</v>
      </c>
      <c r="D183" s="47">
        <v>13939</v>
      </c>
      <c r="E183" s="46" t="s">
        <v>834</v>
      </c>
      <c r="F183" s="35">
        <v>82500</v>
      </c>
      <c r="G183" s="35">
        <v>82500</v>
      </c>
      <c r="H183" s="35">
        <v>0</v>
      </c>
      <c r="I183" s="35">
        <f t="shared" si="4"/>
        <v>82500</v>
      </c>
      <c r="J183" s="36">
        <f t="shared" si="5"/>
        <v>0</v>
      </c>
      <c r="K183" s="48" t="s">
        <v>14</v>
      </c>
      <c r="L183" s="48" t="s">
        <v>14</v>
      </c>
      <c r="M183" s="38">
        <v>43281</v>
      </c>
      <c r="N183" s="48"/>
      <c r="O183" s="35">
        <v>82500</v>
      </c>
      <c r="P183" s="35"/>
      <c r="Q183" s="35"/>
      <c r="R183" s="35"/>
      <c r="S183" s="58"/>
      <c r="T183" s="58"/>
    </row>
    <row r="184" spans="1:20" s="15" customFormat="1" ht="26.25" customHeight="1" x14ac:dyDescent="0.2">
      <c r="A184" s="43" t="s">
        <v>705</v>
      </c>
      <c r="B184" s="46" t="s">
        <v>19</v>
      </c>
      <c r="C184" s="44" t="s">
        <v>714</v>
      </c>
      <c r="D184" s="47">
        <v>13856</v>
      </c>
      <c r="E184" s="46" t="s">
        <v>722</v>
      </c>
      <c r="F184" s="35">
        <v>20000</v>
      </c>
      <c r="G184" s="35">
        <v>20000</v>
      </c>
      <c r="H184" s="35">
        <v>0</v>
      </c>
      <c r="I184" s="35">
        <f t="shared" si="4"/>
        <v>20000</v>
      </c>
      <c r="J184" s="36">
        <f t="shared" si="5"/>
        <v>0</v>
      </c>
      <c r="K184" s="48" t="s">
        <v>14</v>
      </c>
      <c r="L184" s="48" t="s">
        <v>14</v>
      </c>
      <c r="M184" s="38">
        <v>42752</v>
      </c>
      <c r="N184" s="48"/>
      <c r="O184" s="35">
        <v>20000</v>
      </c>
      <c r="P184" s="35"/>
      <c r="Q184" s="35"/>
      <c r="R184" s="35"/>
      <c r="S184" s="58"/>
      <c r="T184" s="58"/>
    </row>
    <row r="185" spans="1:20" s="15" customFormat="1" ht="26.25" customHeight="1" x14ac:dyDescent="0.2">
      <c r="A185" s="43" t="s">
        <v>287</v>
      </c>
      <c r="B185" s="46" t="s">
        <v>19</v>
      </c>
      <c r="C185" s="44" t="s">
        <v>46</v>
      </c>
      <c r="D185" s="47">
        <v>13165</v>
      </c>
      <c r="E185" s="46" t="s">
        <v>295</v>
      </c>
      <c r="F185" s="35">
        <v>63900</v>
      </c>
      <c r="G185" s="35">
        <v>63900</v>
      </c>
      <c r="H185" s="35">
        <v>0</v>
      </c>
      <c r="I185" s="35">
        <f t="shared" si="4"/>
        <v>63900</v>
      </c>
      <c r="J185" s="36">
        <f t="shared" si="5"/>
        <v>0</v>
      </c>
      <c r="K185" s="48" t="s">
        <v>14</v>
      </c>
      <c r="L185" s="48" t="s">
        <v>14</v>
      </c>
      <c r="M185" s="38">
        <v>42575</v>
      </c>
      <c r="N185" s="48"/>
      <c r="O185" s="35">
        <v>63900</v>
      </c>
      <c r="P185" s="35"/>
      <c r="Q185" s="35"/>
      <c r="R185" s="35"/>
      <c r="S185" s="58"/>
      <c r="T185" s="58"/>
    </row>
    <row r="186" spans="1:20" s="15" customFormat="1" ht="26.25" customHeight="1" x14ac:dyDescent="0.2">
      <c r="A186" s="43" t="s">
        <v>464</v>
      </c>
      <c r="B186" s="46" t="s">
        <v>19</v>
      </c>
      <c r="C186" s="44" t="s">
        <v>46</v>
      </c>
      <c r="D186" s="47">
        <v>13557</v>
      </c>
      <c r="E186" s="46" t="s">
        <v>457</v>
      </c>
      <c r="F186" s="35">
        <v>28350</v>
      </c>
      <c r="G186" s="35">
        <v>28350</v>
      </c>
      <c r="H186" s="35">
        <v>0</v>
      </c>
      <c r="I186" s="35">
        <f t="shared" si="4"/>
        <v>28350</v>
      </c>
      <c r="J186" s="36">
        <f t="shared" si="5"/>
        <v>0</v>
      </c>
      <c r="K186" s="48" t="s">
        <v>14</v>
      </c>
      <c r="L186" s="48" t="s">
        <v>14</v>
      </c>
      <c r="M186" s="38">
        <v>42704</v>
      </c>
      <c r="N186" s="48"/>
      <c r="O186" s="35">
        <v>28350</v>
      </c>
      <c r="P186" s="35"/>
      <c r="Q186" s="35"/>
      <c r="R186" s="35"/>
      <c r="S186" s="58"/>
      <c r="T186" s="58"/>
    </row>
    <row r="187" spans="1:20" s="15" customFormat="1" ht="26.25" customHeight="1" x14ac:dyDescent="0.2">
      <c r="A187" s="43" t="s">
        <v>797</v>
      </c>
      <c r="B187" s="46" t="s">
        <v>19</v>
      </c>
      <c r="C187" s="44" t="s">
        <v>46</v>
      </c>
      <c r="D187" s="47">
        <v>13630</v>
      </c>
      <c r="E187" s="46" t="s">
        <v>812</v>
      </c>
      <c r="F187" s="35">
        <v>26010</v>
      </c>
      <c r="G187" s="35">
        <v>26010</v>
      </c>
      <c r="H187" s="35">
        <v>0</v>
      </c>
      <c r="I187" s="35">
        <f t="shared" si="4"/>
        <v>26010</v>
      </c>
      <c r="J187" s="36">
        <f t="shared" si="5"/>
        <v>0</v>
      </c>
      <c r="K187" s="48" t="s">
        <v>14</v>
      </c>
      <c r="L187" s="48" t="s">
        <v>14</v>
      </c>
      <c r="M187" s="38">
        <v>42659</v>
      </c>
      <c r="N187" s="48"/>
      <c r="O187" s="35">
        <v>26010</v>
      </c>
      <c r="P187" s="35"/>
      <c r="Q187" s="35"/>
      <c r="R187" s="35"/>
      <c r="S187" s="58"/>
      <c r="T187" s="58"/>
    </row>
    <row r="188" spans="1:20" s="15" customFormat="1" ht="26.25" customHeight="1" x14ac:dyDescent="0.2">
      <c r="A188" s="43" t="s">
        <v>798</v>
      </c>
      <c r="B188" s="46" t="s">
        <v>19</v>
      </c>
      <c r="C188" s="44" t="s">
        <v>46</v>
      </c>
      <c r="D188" s="47">
        <v>13760</v>
      </c>
      <c r="E188" s="46" t="s">
        <v>813</v>
      </c>
      <c r="F188" s="35">
        <v>20000</v>
      </c>
      <c r="G188" s="35">
        <v>20000</v>
      </c>
      <c r="H188" s="35">
        <v>0</v>
      </c>
      <c r="I188" s="35">
        <f t="shared" si="4"/>
        <v>20000</v>
      </c>
      <c r="J188" s="36">
        <f t="shared" si="5"/>
        <v>0</v>
      </c>
      <c r="K188" s="48" t="s">
        <v>14</v>
      </c>
      <c r="L188" s="48" t="s">
        <v>14</v>
      </c>
      <c r="M188" s="38">
        <v>42916</v>
      </c>
      <c r="N188" s="48"/>
      <c r="O188" s="35">
        <v>20000</v>
      </c>
      <c r="P188" s="35"/>
      <c r="Q188" s="35"/>
      <c r="R188" s="35"/>
      <c r="S188" s="58"/>
      <c r="T188" s="58"/>
    </row>
    <row r="189" spans="1:20" s="15" customFormat="1" ht="18" customHeight="1" x14ac:dyDescent="0.2">
      <c r="A189" s="43" t="s">
        <v>799</v>
      </c>
      <c r="B189" s="46" t="s">
        <v>19</v>
      </c>
      <c r="C189" s="44" t="s">
        <v>46</v>
      </c>
      <c r="D189" s="47">
        <v>13777</v>
      </c>
      <c r="E189" s="46" t="s">
        <v>814</v>
      </c>
      <c r="F189" s="35">
        <v>27030</v>
      </c>
      <c r="G189" s="35">
        <v>27030</v>
      </c>
      <c r="H189" s="35">
        <v>0</v>
      </c>
      <c r="I189" s="35">
        <f t="shared" si="4"/>
        <v>27030</v>
      </c>
      <c r="J189" s="36">
        <f t="shared" si="5"/>
        <v>0</v>
      </c>
      <c r="K189" s="48" t="s">
        <v>14</v>
      </c>
      <c r="L189" s="48" t="s">
        <v>14</v>
      </c>
      <c r="M189" s="38">
        <v>42916</v>
      </c>
      <c r="N189" s="48"/>
      <c r="O189" s="35">
        <v>27030</v>
      </c>
      <c r="P189" s="35"/>
      <c r="Q189" s="35"/>
      <c r="R189" s="35"/>
      <c r="S189" s="58"/>
      <c r="T189" s="58"/>
    </row>
    <row r="190" spans="1:20" s="15" customFormat="1" ht="18" customHeight="1" x14ac:dyDescent="0.2">
      <c r="A190" s="43" t="s">
        <v>800</v>
      </c>
      <c r="B190" s="46" t="s">
        <v>19</v>
      </c>
      <c r="C190" s="44" t="s">
        <v>46</v>
      </c>
      <c r="D190" s="47">
        <v>13778</v>
      </c>
      <c r="E190" s="46" t="s">
        <v>815</v>
      </c>
      <c r="F190" s="35">
        <v>27090</v>
      </c>
      <c r="G190" s="35">
        <v>27090</v>
      </c>
      <c r="H190" s="35">
        <v>0</v>
      </c>
      <c r="I190" s="35">
        <f t="shared" si="4"/>
        <v>27090</v>
      </c>
      <c r="J190" s="36">
        <f t="shared" si="5"/>
        <v>0</v>
      </c>
      <c r="K190" s="48" t="s">
        <v>14</v>
      </c>
      <c r="L190" s="48" t="s">
        <v>14</v>
      </c>
      <c r="M190" s="38">
        <v>42916</v>
      </c>
      <c r="N190" s="48"/>
      <c r="O190" s="35">
        <v>27090</v>
      </c>
      <c r="P190" s="35"/>
      <c r="Q190" s="35"/>
      <c r="R190" s="35"/>
      <c r="S190" s="58"/>
      <c r="T190" s="58"/>
    </row>
    <row r="191" spans="1:20" s="15" customFormat="1" ht="26.25" customHeight="1" x14ac:dyDescent="0.2">
      <c r="A191" s="43" t="s">
        <v>802</v>
      </c>
      <c r="B191" s="46" t="s">
        <v>19</v>
      </c>
      <c r="C191" s="44" t="s">
        <v>46</v>
      </c>
      <c r="D191" s="47">
        <v>13913</v>
      </c>
      <c r="E191" s="46" t="s">
        <v>817</v>
      </c>
      <c r="F191" s="35">
        <v>11375</v>
      </c>
      <c r="G191" s="35">
        <v>11375</v>
      </c>
      <c r="H191" s="35">
        <v>0</v>
      </c>
      <c r="I191" s="35">
        <f t="shared" si="4"/>
        <v>11375</v>
      </c>
      <c r="J191" s="36">
        <f t="shared" si="5"/>
        <v>0</v>
      </c>
      <c r="K191" s="48" t="s">
        <v>14</v>
      </c>
      <c r="L191" s="48" t="s">
        <v>14</v>
      </c>
      <c r="M191" s="38">
        <v>42735</v>
      </c>
      <c r="N191" s="48"/>
      <c r="O191" s="35">
        <v>11375</v>
      </c>
      <c r="P191" s="35"/>
      <c r="Q191" s="35"/>
      <c r="R191" s="35"/>
      <c r="S191" s="58"/>
      <c r="T191" s="58"/>
    </row>
    <row r="192" spans="1:20" s="15" customFormat="1" ht="26.25" customHeight="1" x14ac:dyDescent="0.2">
      <c r="A192" s="43" t="s">
        <v>803</v>
      </c>
      <c r="B192" s="46" t="s">
        <v>19</v>
      </c>
      <c r="C192" s="44" t="s">
        <v>46</v>
      </c>
      <c r="D192" s="47">
        <v>13914</v>
      </c>
      <c r="E192" s="46" t="s">
        <v>818</v>
      </c>
      <c r="F192" s="35">
        <v>12125</v>
      </c>
      <c r="G192" s="35">
        <v>12125</v>
      </c>
      <c r="H192" s="35">
        <v>0</v>
      </c>
      <c r="I192" s="35">
        <f t="shared" si="4"/>
        <v>12125</v>
      </c>
      <c r="J192" s="36">
        <f t="shared" si="5"/>
        <v>0</v>
      </c>
      <c r="K192" s="48" t="s">
        <v>14</v>
      </c>
      <c r="L192" s="48" t="s">
        <v>14</v>
      </c>
      <c r="M192" s="38">
        <v>42735</v>
      </c>
      <c r="N192" s="48"/>
      <c r="O192" s="35">
        <v>12125</v>
      </c>
      <c r="P192" s="35"/>
      <c r="Q192" s="35"/>
      <c r="R192" s="35"/>
      <c r="S192" s="58"/>
      <c r="T192" s="58"/>
    </row>
    <row r="193" spans="1:20" s="15" customFormat="1" ht="26.25" customHeight="1" x14ac:dyDescent="0.2">
      <c r="A193" s="43" t="s">
        <v>821</v>
      </c>
      <c r="B193" s="46" t="s">
        <v>19</v>
      </c>
      <c r="C193" s="44" t="s">
        <v>46</v>
      </c>
      <c r="D193" s="47">
        <v>13556</v>
      </c>
      <c r="E193" s="46" t="s">
        <v>457</v>
      </c>
      <c r="F193" s="35">
        <v>78750</v>
      </c>
      <c r="G193" s="35">
        <v>78750</v>
      </c>
      <c r="H193" s="35">
        <v>0</v>
      </c>
      <c r="I193" s="35">
        <f t="shared" si="4"/>
        <v>78750</v>
      </c>
      <c r="J193" s="36">
        <f t="shared" si="5"/>
        <v>0</v>
      </c>
      <c r="K193" s="48" t="s">
        <v>14</v>
      </c>
      <c r="L193" s="48" t="s">
        <v>14</v>
      </c>
      <c r="M193" s="38">
        <v>42680</v>
      </c>
      <c r="N193" s="48"/>
      <c r="O193" s="35">
        <v>78750</v>
      </c>
      <c r="P193" s="35"/>
      <c r="Q193" s="35"/>
      <c r="R193" s="35"/>
      <c r="S193" s="58"/>
      <c r="T193" s="58"/>
    </row>
    <row r="194" spans="1:20" s="15" customFormat="1" ht="18" customHeight="1" x14ac:dyDescent="0.2">
      <c r="A194" s="43" t="s">
        <v>823</v>
      </c>
      <c r="B194" s="46" t="s">
        <v>19</v>
      </c>
      <c r="C194" s="44" t="s">
        <v>46</v>
      </c>
      <c r="D194" s="47">
        <v>13782</v>
      </c>
      <c r="E194" s="46" t="s">
        <v>825</v>
      </c>
      <c r="F194" s="35">
        <v>53000</v>
      </c>
      <c r="G194" s="35">
        <v>53000</v>
      </c>
      <c r="H194" s="35">
        <v>0</v>
      </c>
      <c r="I194" s="35">
        <f t="shared" ref="I194:I257" si="6">G194+H194</f>
        <v>53000</v>
      </c>
      <c r="J194" s="36">
        <f t="shared" ref="J194:J257" si="7">IF(G194=0,100%,(I194-G194)/G194)</f>
        <v>0</v>
      </c>
      <c r="K194" s="48" t="s">
        <v>14</v>
      </c>
      <c r="L194" s="48" t="s">
        <v>14</v>
      </c>
      <c r="M194" s="38">
        <v>42916</v>
      </c>
      <c r="N194" s="48"/>
      <c r="O194" s="35">
        <v>53000</v>
      </c>
      <c r="P194" s="35"/>
      <c r="Q194" s="35"/>
      <c r="R194" s="35"/>
      <c r="S194" s="58"/>
      <c r="T194" s="58"/>
    </row>
    <row r="195" spans="1:20" s="15" customFormat="1" ht="26.25" customHeight="1" x14ac:dyDescent="0.2">
      <c r="A195" s="43" t="s">
        <v>878</v>
      </c>
      <c r="B195" s="46" t="s">
        <v>19</v>
      </c>
      <c r="C195" s="44" t="s">
        <v>46</v>
      </c>
      <c r="D195" s="47">
        <v>14195</v>
      </c>
      <c r="E195" s="46" t="s">
        <v>885</v>
      </c>
      <c r="F195" s="35">
        <v>4647</v>
      </c>
      <c r="G195" s="35">
        <v>20000</v>
      </c>
      <c r="H195" s="35">
        <v>4647</v>
      </c>
      <c r="I195" s="35">
        <f t="shared" si="6"/>
        <v>24647</v>
      </c>
      <c r="J195" s="36">
        <f t="shared" si="7"/>
        <v>0.23235</v>
      </c>
      <c r="K195" s="48" t="s">
        <v>14</v>
      </c>
      <c r="L195" s="48" t="s">
        <v>14</v>
      </c>
      <c r="M195" s="38">
        <v>42916</v>
      </c>
      <c r="N195" s="48" t="s">
        <v>28</v>
      </c>
      <c r="O195" s="35">
        <v>4647</v>
      </c>
      <c r="P195" s="35"/>
      <c r="Q195" s="35"/>
      <c r="R195" s="35"/>
      <c r="S195" s="58"/>
      <c r="T195" s="58"/>
    </row>
    <row r="196" spans="1:20" s="15" customFormat="1" ht="26.25" customHeight="1" x14ac:dyDescent="0.2">
      <c r="A196" s="43" t="s">
        <v>308</v>
      </c>
      <c r="B196" s="46" t="s">
        <v>19</v>
      </c>
      <c r="C196" s="44" t="s">
        <v>83</v>
      </c>
      <c r="D196" s="47">
        <v>13280</v>
      </c>
      <c r="E196" s="46" t="s">
        <v>330</v>
      </c>
      <c r="F196" s="35">
        <v>20000</v>
      </c>
      <c r="G196" s="35">
        <v>20000</v>
      </c>
      <c r="H196" s="35">
        <v>0</v>
      </c>
      <c r="I196" s="35">
        <f t="shared" si="6"/>
        <v>20000</v>
      </c>
      <c r="J196" s="36">
        <f t="shared" si="7"/>
        <v>0</v>
      </c>
      <c r="K196" s="48" t="s">
        <v>14</v>
      </c>
      <c r="L196" s="48" t="s">
        <v>14</v>
      </c>
      <c r="M196" s="38">
        <v>42659</v>
      </c>
      <c r="N196" s="48"/>
      <c r="O196" s="35">
        <v>20000</v>
      </c>
      <c r="P196" s="35"/>
      <c r="Q196" s="35"/>
      <c r="R196" s="35"/>
      <c r="S196" s="58"/>
      <c r="T196" s="58"/>
    </row>
    <row r="197" spans="1:20" s="15" customFormat="1" ht="26.25" customHeight="1" x14ac:dyDescent="0.2">
      <c r="A197" s="43" t="s">
        <v>757</v>
      </c>
      <c r="B197" s="46" t="s">
        <v>19</v>
      </c>
      <c r="C197" s="44" t="s">
        <v>771</v>
      </c>
      <c r="D197" s="54" t="s">
        <v>778</v>
      </c>
      <c r="E197" s="46" t="s">
        <v>782</v>
      </c>
      <c r="F197" s="35">
        <v>3050</v>
      </c>
      <c r="G197" s="35">
        <v>7084</v>
      </c>
      <c r="H197" s="35">
        <v>3050</v>
      </c>
      <c r="I197" s="35">
        <f t="shared" si="6"/>
        <v>10134</v>
      </c>
      <c r="J197" s="36">
        <f t="shared" si="7"/>
        <v>0.43054771315640883</v>
      </c>
      <c r="K197" s="48" t="s">
        <v>14</v>
      </c>
      <c r="L197" s="48" t="s">
        <v>14</v>
      </c>
      <c r="M197" s="38">
        <v>42916</v>
      </c>
      <c r="N197" s="48" t="s">
        <v>28</v>
      </c>
      <c r="O197" s="35">
        <v>3050</v>
      </c>
      <c r="P197" s="35"/>
      <c r="Q197" s="35"/>
      <c r="R197" s="35"/>
      <c r="S197" s="58"/>
      <c r="T197" s="58"/>
    </row>
    <row r="198" spans="1:20" s="15" customFormat="1" ht="26.25" customHeight="1" x14ac:dyDescent="0.2">
      <c r="A198" s="43" t="s">
        <v>712</v>
      </c>
      <c r="B198" s="46" t="s">
        <v>19</v>
      </c>
      <c r="C198" s="44" t="s">
        <v>719</v>
      </c>
      <c r="D198" s="47">
        <v>13946</v>
      </c>
      <c r="E198" s="46" t="s">
        <v>729</v>
      </c>
      <c r="F198" s="35">
        <v>6000</v>
      </c>
      <c r="G198" s="35">
        <v>6000</v>
      </c>
      <c r="H198" s="35">
        <v>0</v>
      </c>
      <c r="I198" s="35">
        <f t="shared" si="6"/>
        <v>6000</v>
      </c>
      <c r="J198" s="36">
        <f t="shared" si="7"/>
        <v>0</v>
      </c>
      <c r="K198" s="48" t="s">
        <v>14</v>
      </c>
      <c r="L198" s="48" t="s">
        <v>14</v>
      </c>
      <c r="M198" s="38">
        <v>42777</v>
      </c>
      <c r="N198" s="48"/>
      <c r="O198" s="35">
        <v>6000</v>
      </c>
      <c r="P198" s="35"/>
      <c r="Q198" s="35"/>
      <c r="R198" s="35"/>
      <c r="S198" s="58"/>
      <c r="T198" s="58"/>
    </row>
    <row r="199" spans="1:20" s="15" customFormat="1" ht="26.25" customHeight="1" x14ac:dyDescent="0.2">
      <c r="A199" s="43" t="s">
        <v>572</v>
      </c>
      <c r="B199" s="46" t="s">
        <v>19</v>
      </c>
      <c r="C199" s="44" t="s">
        <v>576</v>
      </c>
      <c r="D199" s="47">
        <v>13649</v>
      </c>
      <c r="E199" s="46" t="s">
        <v>580</v>
      </c>
      <c r="F199" s="35">
        <v>50166</v>
      </c>
      <c r="G199" s="35">
        <v>50166</v>
      </c>
      <c r="H199" s="35">
        <v>0</v>
      </c>
      <c r="I199" s="35">
        <f t="shared" si="6"/>
        <v>50166</v>
      </c>
      <c r="J199" s="36">
        <f t="shared" si="7"/>
        <v>0</v>
      </c>
      <c r="K199" s="48" t="s">
        <v>14</v>
      </c>
      <c r="L199" s="48" t="s">
        <v>14</v>
      </c>
      <c r="M199" s="38">
        <v>42916</v>
      </c>
      <c r="N199" s="48"/>
      <c r="O199" s="35">
        <v>50166</v>
      </c>
      <c r="P199" s="35"/>
      <c r="Q199" s="35"/>
      <c r="R199" s="35"/>
      <c r="S199" s="58"/>
      <c r="T199" s="58"/>
    </row>
    <row r="200" spans="1:20" s="15" customFormat="1" ht="26.25" customHeight="1" x14ac:dyDescent="0.2">
      <c r="A200" s="43" t="s">
        <v>289</v>
      </c>
      <c r="B200" s="46" t="s">
        <v>19</v>
      </c>
      <c r="C200" s="44" t="s">
        <v>59</v>
      </c>
      <c r="D200" s="47">
        <v>13206</v>
      </c>
      <c r="E200" s="46" t="s">
        <v>297</v>
      </c>
      <c r="F200" s="35">
        <f>73431*3</f>
        <v>220293</v>
      </c>
      <c r="G200" s="35">
        <f>73431*3</f>
        <v>220293</v>
      </c>
      <c r="H200" s="35">
        <v>0</v>
      </c>
      <c r="I200" s="35">
        <f t="shared" si="6"/>
        <v>220293</v>
      </c>
      <c r="J200" s="36">
        <f t="shared" si="7"/>
        <v>0</v>
      </c>
      <c r="K200" s="48" t="s">
        <v>14</v>
      </c>
      <c r="L200" s="48" t="s">
        <v>14</v>
      </c>
      <c r="M200" s="38">
        <v>42916</v>
      </c>
      <c r="N200" s="48" t="s">
        <v>18</v>
      </c>
      <c r="O200" s="35">
        <v>73431</v>
      </c>
      <c r="P200" s="35">
        <v>73431</v>
      </c>
      <c r="Q200" s="35">
        <v>73431</v>
      </c>
      <c r="R200" s="35"/>
      <c r="S200" s="58"/>
      <c r="T200" s="58"/>
    </row>
    <row r="201" spans="1:20" s="15" customFormat="1" ht="26.25" customHeight="1" x14ac:dyDescent="0.2">
      <c r="A201" s="43" t="s">
        <v>943</v>
      </c>
      <c r="B201" s="46" t="s">
        <v>19</v>
      </c>
      <c r="C201" s="44" t="s">
        <v>59</v>
      </c>
      <c r="D201" s="47">
        <v>14366</v>
      </c>
      <c r="E201" s="46" t="s">
        <v>297</v>
      </c>
      <c r="F201" s="35">
        <v>3941</v>
      </c>
      <c r="G201" s="35">
        <v>73431</v>
      </c>
      <c r="H201" s="35">
        <v>3941</v>
      </c>
      <c r="I201" s="35">
        <f t="shared" si="6"/>
        <v>77372</v>
      </c>
      <c r="J201" s="36">
        <f t="shared" si="7"/>
        <v>5.3669431166673477E-2</v>
      </c>
      <c r="K201" s="48" t="s">
        <v>14</v>
      </c>
      <c r="L201" s="48" t="s">
        <v>14</v>
      </c>
      <c r="M201" s="38">
        <v>42853</v>
      </c>
      <c r="N201" s="48" t="s">
        <v>28</v>
      </c>
      <c r="O201" s="35">
        <v>3941</v>
      </c>
      <c r="P201" s="35"/>
      <c r="Q201" s="35"/>
      <c r="R201" s="35"/>
      <c r="S201" s="58"/>
      <c r="T201" s="58"/>
    </row>
    <row r="202" spans="1:20" s="15" customFormat="1" ht="26.25" customHeight="1" x14ac:dyDescent="0.2">
      <c r="A202" s="43" t="s">
        <v>445</v>
      </c>
      <c r="B202" s="46" t="s">
        <v>19</v>
      </c>
      <c r="C202" s="44" t="s">
        <v>451</v>
      </c>
      <c r="D202" s="47">
        <v>13534</v>
      </c>
      <c r="E202" s="46" t="s">
        <v>457</v>
      </c>
      <c r="F202" s="35">
        <v>65525</v>
      </c>
      <c r="G202" s="35">
        <v>65525</v>
      </c>
      <c r="H202" s="35">
        <v>0</v>
      </c>
      <c r="I202" s="35">
        <f t="shared" si="6"/>
        <v>65525</v>
      </c>
      <c r="J202" s="36">
        <f t="shared" si="7"/>
        <v>0</v>
      </c>
      <c r="K202" s="48" t="s">
        <v>14</v>
      </c>
      <c r="L202" s="48" t="s">
        <v>14</v>
      </c>
      <c r="M202" s="38">
        <v>42704</v>
      </c>
      <c r="N202" s="48"/>
      <c r="O202" s="35">
        <v>65525</v>
      </c>
      <c r="P202" s="35"/>
      <c r="Q202" s="35"/>
      <c r="R202" s="35"/>
      <c r="S202" s="58"/>
      <c r="T202" s="58"/>
    </row>
    <row r="203" spans="1:20" s="15" customFormat="1" ht="26.25" customHeight="1" x14ac:dyDescent="0.2">
      <c r="A203" s="43" t="s">
        <v>804</v>
      </c>
      <c r="B203" s="46" t="s">
        <v>19</v>
      </c>
      <c r="C203" s="44" t="s">
        <v>806</v>
      </c>
      <c r="D203" s="47">
        <v>14078</v>
      </c>
      <c r="E203" s="46" t="s">
        <v>819</v>
      </c>
      <c r="F203" s="35">
        <v>15000</v>
      </c>
      <c r="G203" s="35">
        <v>15000</v>
      </c>
      <c r="H203" s="35">
        <v>0</v>
      </c>
      <c r="I203" s="35">
        <f t="shared" si="6"/>
        <v>15000</v>
      </c>
      <c r="J203" s="36">
        <f t="shared" si="7"/>
        <v>0</v>
      </c>
      <c r="K203" s="48" t="s">
        <v>14</v>
      </c>
      <c r="L203" s="48" t="s">
        <v>14</v>
      </c>
      <c r="M203" s="38">
        <v>42825</v>
      </c>
      <c r="N203" s="48"/>
      <c r="O203" s="35">
        <v>15000</v>
      </c>
      <c r="P203" s="35"/>
      <c r="Q203" s="35"/>
      <c r="R203" s="35"/>
      <c r="S203" s="58"/>
      <c r="T203" s="58"/>
    </row>
    <row r="204" spans="1:20" s="15" customFormat="1" ht="26.25" customHeight="1" x14ac:dyDescent="0.2">
      <c r="A204" s="43" t="s">
        <v>116</v>
      </c>
      <c r="B204" s="46" t="s">
        <v>19</v>
      </c>
      <c r="C204" s="44" t="s">
        <v>129</v>
      </c>
      <c r="D204" s="47">
        <v>12918</v>
      </c>
      <c r="E204" s="46" t="s">
        <v>148</v>
      </c>
      <c r="F204" s="35">
        <v>7125</v>
      </c>
      <c r="G204" s="35">
        <v>7125</v>
      </c>
      <c r="H204" s="35">
        <v>0</v>
      </c>
      <c r="I204" s="49">
        <f t="shared" si="6"/>
        <v>7125</v>
      </c>
      <c r="J204" s="51">
        <f t="shared" si="7"/>
        <v>0</v>
      </c>
      <c r="K204" s="48" t="s">
        <v>14</v>
      </c>
      <c r="L204" s="48" t="s">
        <v>14</v>
      </c>
      <c r="M204" s="38">
        <v>42575</v>
      </c>
      <c r="N204" s="48"/>
      <c r="O204" s="35">
        <v>7125</v>
      </c>
      <c r="P204" s="35"/>
      <c r="Q204" s="35"/>
      <c r="R204" s="35"/>
      <c r="S204" s="58"/>
      <c r="T204" s="58"/>
    </row>
    <row r="205" spans="1:20" s="15" customFormat="1" ht="26.25" customHeight="1" x14ac:dyDescent="0.2">
      <c r="A205" s="43" t="s">
        <v>707</v>
      </c>
      <c r="B205" s="46" t="s">
        <v>19</v>
      </c>
      <c r="C205" s="44" t="s">
        <v>716</v>
      </c>
      <c r="D205" s="47">
        <v>13862</v>
      </c>
      <c r="E205" s="46" t="s">
        <v>724</v>
      </c>
      <c r="F205" s="35">
        <v>18128</v>
      </c>
      <c r="G205" s="35">
        <v>18128</v>
      </c>
      <c r="H205" s="35">
        <v>0</v>
      </c>
      <c r="I205" s="35">
        <f t="shared" si="6"/>
        <v>18128</v>
      </c>
      <c r="J205" s="36">
        <f t="shared" si="7"/>
        <v>0</v>
      </c>
      <c r="K205" s="48" t="s">
        <v>14</v>
      </c>
      <c r="L205" s="48" t="s">
        <v>14</v>
      </c>
      <c r="M205" s="38">
        <v>42752</v>
      </c>
      <c r="N205" s="48"/>
      <c r="O205" s="35">
        <v>18128</v>
      </c>
      <c r="P205" s="35"/>
      <c r="Q205" s="35"/>
      <c r="R205" s="35"/>
      <c r="S205" s="58"/>
      <c r="T205" s="58"/>
    </row>
    <row r="206" spans="1:20" s="15" customFormat="1" ht="26.25" customHeight="1" x14ac:dyDescent="0.2">
      <c r="A206" s="43" t="s">
        <v>760</v>
      </c>
      <c r="B206" s="46" t="s">
        <v>19</v>
      </c>
      <c r="C206" s="44" t="s">
        <v>773</v>
      </c>
      <c r="D206" s="47">
        <v>14036</v>
      </c>
      <c r="E206" s="46" t="s">
        <v>785</v>
      </c>
      <c r="F206" s="35">
        <v>5855</v>
      </c>
      <c r="G206" s="35">
        <v>5855</v>
      </c>
      <c r="H206" s="35">
        <v>0</v>
      </c>
      <c r="I206" s="35">
        <f t="shared" si="6"/>
        <v>5855</v>
      </c>
      <c r="J206" s="36">
        <f t="shared" si="7"/>
        <v>0</v>
      </c>
      <c r="K206" s="48" t="s">
        <v>14</v>
      </c>
      <c r="L206" s="48" t="s">
        <v>14</v>
      </c>
      <c r="M206" s="38">
        <v>42916</v>
      </c>
      <c r="N206" s="48"/>
      <c r="O206" s="35">
        <v>5855</v>
      </c>
      <c r="P206" s="35"/>
      <c r="Q206" s="35"/>
      <c r="R206" s="35"/>
      <c r="S206" s="58"/>
      <c r="T206" s="58"/>
    </row>
    <row r="207" spans="1:20" s="15" customFormat="1" ht="26.25" customHeight="1" x14ac:dyDescent="0.2">
      <c r="A207" s="43" t="s">
        <v>117</v>
      </c>
      <c r="B207" s="46" t="s">
        <v>19</v>
      </c>
      <c r="C207" s="44" t="s">
        <v>130</v>
      </c>
      <c r="D207" s="47">
        <v>12920</v>
      </c>
      <c r="E207" s="46" t="s">
        <v>149</v>
      </c>
      <c r="F207" s="35">
        <v>7100</v>
      </c>
      <c r="G207" s="35">
        <v>7100</v>
      </c>
      <c r="H207" s="35">
        <v>0</v>
      </c>
      <c r="I207" s="49">
        <f t="shared" si="6"/>
        <v>7100</v>
      </c>
      <c r="J207" s="51">
        <f t="shared" si="7"/>
        <v>0</v>
      </c>
      <c r="K207" s="48" t="s">
        <v>14</v>
      </c>
      <c r="L207" s="48" t="s">
        <v>14</v>
      </c>
      <c r="M207" s="38">
        <v>42575</v>
      </c>
      <c r="N207" s="48"/>
      <c r="O207" s="35">
        <v>7100</v>
      </c>
      <c r="P207" s="35"/>
      <c r="Q207" s="35"/>
      <c r="R207" s="35"/>
      <c r="S207" s="58"/>
      <c r="T207" s="58"/>
    </row>
    <row r="208" spans="1:20" s="15" customFormat="1" ht="26.25" customHeight="1" x14ac:dyDescent="0.2">
      <c r="A208" s="43" t="s">
        <v>118</v>
      </c>
      <c r="B208" s="46" t="s">
        <v>19</v>
      </c>
      <c r="C208" s="44" t="s">
        <v>130</v>
      </c>
      <c r="D208" s="54">
        <v>12921</v>
      </c>
      <c r="E208" s="46" t="s">
        <v>150</v>
      </c>
      <c r="F208" s="35">
        <v>10750</v>
      </c>
      <c r="G208" s="35">
        <v>10750</v>
      </c>
      <c r="H208" s="35">
        <v>0</v>
      </c>
      <c r="I208" s="49">
        <f t="shared" si="6"/>
        <v>10750</v>
      </c>
      <c r="J208" s="51">
        <f t="shared" si="7"/>
        <v>0</v>
      </c>
      <c r="K208" s="48" t="s">
        <v>14</v>
      </c>
      <c r="L208" s="48" t="s">
        <v>14</v>
      </c>
      <c r="M208" s="38">
        <v>42575</v>
      </c>
      <c r="N208" s="48"/>
      <c r="O208" s="35">
        <v>10750</v>
      </c>
      <c r="P208" s="41"/>
      <c r="Q208" s="41"/>
      <c r="R208" s="41"/>
      <c r="S208" s="58"/>
      <c r="T208" s="58"/>
    </row>
    <row r="209" spans="1:20" s="15" customFormat="1" ht="26.25" customHeight="1" x14ac:dyDescent="0.2">
      <c r="A209" s="43" t="s">
        <v>462</v>
      </c>
      <c r="B209" s="46" t="s">
        <v>19</v>
      </c>
      <c r="C209" s="44" t="s">
        <v>477</v>
      </c>
      <c r="D209" s="47">
        <v>13570</v>
      </c>
      <c r="E209" s="46" t="s">
        <v>489</v>
      </c>
      <c r="F209" s="35">
        <v>6621</v>
      </c>
      <c r="G209" s="35">
        <v>6621</v>
      </c>
      <c r="H209" s="35">
        <v>0</v>
      </c>
      <c r="I209" s="35">
        <f t="shared" si="6"/>
        <v>6621</v>
      </c>
      <c r="J209" s="36">
        <f t="shared" si="7"/>
        <v>0</v>
      </c>
      <c r="K209" s="48" t="s">
        <v>14</v>
      </c>
      <c r="L209" s="48" t="s">
        <v>14</v>
      </c>
      <c r="M209" s="38">
        <v>42916</v>
      </c>
      <c r="N209" s="48"/>
      <c r="O209" s="35">
        <v>6621</v>
      </c>
      <c r="P209" s="35"/>
      <c r="Q209" s="35"/>
      <c r="R209" s="35"/>
      <c r="S209" s="58"/>
      <c r="T209" s="58"/>
    </row>
    <row r="210" spans="1:20" s="15" customFormat="1" ht="26.25" customHeight="1" x14ac:dyDescent="0.2">
      <c r="A210" s="43" t="s">
        <v>301</v>
      </c>
      <c r="B210" s="46" t="s">
        <v>19</v>
      </c>
      <c r="C210" s="44" t="s">
        <v>313</v>
      </c>
      <c r="D210" s="54">
        <v>12948</v>
      </c>
      <c r="E210" s="46" t="s">
        <v>324</v>
      </c>
      <c r="F210" s="35">
        <v>8500</v>
      </c>
      <c r="G210" s="35">
        <v>8500</v>
      </c>
      <c r="H210" s="35">
        <v>0</v>
      </c>
      <c r="I210" s="35">
        <f t="shared" si="6"/>
        <v>8500</v>
      </c>
      <c r="J210" s="36">
        <f t="shared" si="7"/>
        <v>0</v>
      </c>
      <c r="K210" s="48" t="s">
        <v>14</v>
      </c>
      <c r="L210" s="48" t="s">
        <v>14</v>
      </c>
      <c r="M210" s="38">
        <v>42916</v>
      </c>
      <c r="N210" s="48"/>
      <c r="O210" s="35">
        <v>8500</v>
      </c>
      <c r="P210" s="35"/>
      <c r="Q210" s="35"/>
      <c r="R210" s="35"/>
      <c r="S210" s="58"/>
      <c r="T210" s="58"/>
    </row>
    <row r="211" spans="1:20" s="15" customFormat="1" ht="18" customHeight="1" x14ac:dyDescent="0.2">
      <c r="A211" s="43" t="s">
        <v>521</v>
      </c>
      <c r="B211" s="46" t="s">
        <v>19</v>
      </c>
      <c r="C211" s="44" t="s">
        <v>529</v>
      </c>
      <c r="D211" s="47">
        <v>13658</v>
      </c>
      <c r="E211" s="46" t="s">
        <v>536</v>
      </c>
      <c r="F211" s="35">
        <v>10000</v>
      </c>
      <c r="G211" s="35">
        <v>10000</v>
      </c>
      <c r="H211" s="35">
        <v>0</v>
      </c>
      <c r="I211" s="35">
        <f t="shared" si="6"/>
        <v>10000</v>
      </c>
      <c r="J211" s="36">
        <f t="shared" si="7"/>
        <v>0</v>
      </c>
      <c r="K211" s="48" t="s">
        <v>14</v>
      </c>
      <c r="L211" s="48" t="s">
        <v>14</v>
      </c>
      <c r="M211" s="38">
        <v>43039</v>
      </c>
      <c r="N211" s="48"/>
      <c r="O211" s="35">
        <v>10000</v>
      </c>
      <c r="P211" s="35"/>
      <c r="Q211" s="35"/>
      <c r="R211" s="35"/>
      <c r="S211" s="58"/>
      <c r="T211" s="58"/>
    </row>
    <row r="212" spans="1:20" s="15" customFormat="1" ht="26.25" customHeight="1" x14ac:dyDescent="0.2">
      <c r="A212" s="43" t="s">
        <v>730</v>
      </c>
      <c r="B212" s="46" t="s">
        <v>19</v>
      </c>
      <c r="C212" s="44" t="s">
        <v>529</v>
      </c>
      <c r="D212" s="47">
        <v>13631</v>
      </c>
      <c r="E212" s="46" t="s">
        <v>745</v>
      </c>
      <c r="F212" s="35">
        <v>80000</v>
      </c>
      <c r="G212" s="35">
        <v>80000</v>
      </c>
      <c r="H212" s="35">
        <v>0</v>
      </c>
      <c r="I212" s="35">
        <f t="shared" si="6"/>
        <v>80000</v>
      </c>
      <c r="J212" s="36">
        <f t="shared" si="7"/>
        <v>0</v>
      </c>
      <c r="K212" s="48" t="s">
        <v>14</v>
      </c>
      <c r="L212" s="48" t="s">
        <v>14</v>
      </c>
      <c r="M212" s="38">
        <v>42659</v>
      </c>
      <c r="N212" s="48"/>
      <c r="O212" s="35">
        <v>80000</v>
      </c>
      <c r="P212" s="35"/>
      <c r="Q212" s="35"/>
      <c r="R212" s="35"/>
      <c r="S212" s="58"/>
      <c r="T212" s="58"/>
    </row>
    <row r="213" spans="1:20" s="15" customFormat="1" ht="26.25" customHeight="1" x14ac:dyDescent="0.2">
      <c r="A213" s="43" t="s">
        <v>792</v>
      </c>
      <c r="B213" s="46" t="s">
        <v>19</v>
      </c>
      <c r="C213" s="44" t="s">
        <v>805</v>
      </c>
      <c r="D213" s="47">
        <v>13554</v>
      </c>
      <c r="E213" s="46" t="s">
        <v>807</v>
      </c>
      <c r="F213" s="35">
        <v>37880</v>
      </c>
      <c r="G213" s="35">
        <v>37880</v>
      </c>
      <c r="H213" s="35">
        <v>0</v>
      </c>
      <c r="I213" s="35">
        <f t="shared" si="6"/>
        <v>37880</v>
      </c>
      <c r="J213" s="36">
        <f t="shared" si="7"/>
        <v>0</v>
      </c>
      <c r="K213" s="48" t="s">
        <v>14</v>
      </c>
      <c r="L213" s="48" t="s">
        <v>14</v>
      </c>
      <c r="M213" s="38">
        <v>42680</v>
      </c>
      <c r="N213" s="48"/>
      <c r="O213" s="35">
        <v>37880</v>
      </c>
      <c r="P213" s="35"/>
      <c r="Q213" s="35"/>
      <c r="R213" s="35"/>
      <c r="S213" s="58"/>
      <c r="T213" s="58"/>
    </row>
    <row r="214" spans="1:20" s="15" customFormat="1" ht="26.25" customHeight="1" x14ac:dyDescent="0.2">
      <c r="A214" s="43" t="s">
        <v>793</v>
      </c>
      <c r="B214" s="46" t="s">
        <v>19</v>
      </c>
      <c r="C214" s="44" t="s">
        <v>805</v>
      </c>
      <c r="D214" s="47">
        <v>13623</v>
      </c>
      <c r="E214" s="46" t="s">
        <v>808</v>
      </c>
      <c r="F214" s="35">
        <v>16424</v>
      </c>
      <c r="G214" s="35">
        <v>16424</v>
      </c>
      <c r="H214" s="35">
        <v>0</v>
      </c>
      <c r="I214" s="35">
        <f t="shared" si="6"/>
        <v>16424</v>
      </c>
      <c r="J214" s="36">
        <f t="shared" si="7"/>
        <v>0</v>
      </c>
      <c r="K214" s="48" t="s">
        <v>14</v>
      </c>
      <c r="L214" s="48" t="s">
        <v>14</v>
      </c>
      <c r="M214" s="38">
        <v>42659</v>
      </c>
      <c r="N214" s="48"/>
      <c r="O214" s="35">
        <v>16424</v>
      </c>
      <c r="P214" s="35"/>
      <c r="Q214" s="35"/>
      <c r="R214" s="35"/>
      <c r="S214" s="58"/>
      <c r="T214" s="58"/>
    </row>
    <row r="215" spans="1:20" s="15" customFormat="1" ht="26.25" customHeight="1" x14ac:dyDescent="0.2">
      <c r="A215" s="43" t="s">
        <v>794</v>
      </c>
      <c r="B215" s="46" t="s">
        <v>19</v>
      </c>
      <c r="C215" s="44" t="s">
        <v>805</v>
      </c>
      <c r="D215" s="47">
        <v>13625</v>
      </c>
      <c r="E215" s="46" t="s">
        <v>809</v>
      </c>
      <c r="F215" s="35">
        <v>11098</v>
      </c>
      <c r="G215" s="35">
        <v>11098</v>
      </c>
      <c r="H215" s="35">
        <v>0</v>
      </c>
      <c r="I215" s="35">
        <f t="shared" si="6"/>
        <v>11098</v>
      </c>
      <c r="J215" s="36">
        <f t="shared" si="7"/>
        <v>0</v>
      </c>
      <c r="K215" s="48" t="s">
        <v>14</v>
      </c>
      <c r="L215" s="48" t="s">
        <v>14</v>
      </c>
      <c r="M215" s="38">
        <v>42659</v>
      </c>
      <c r="N215" s="48"/>
      <c r="O215" s="35">
        <v>11098</v>
      </c>
      <c r="P215" s="35"/>
      <c r="Q215" s="35"/>
      <c r="R215" s="35"/>
      <c r="S215" s="58"/>
      <c r="T215" s="58"/>
    </row>
    <row r="216" spans="1:20" s="15" customFormat="1" ht="26.25" customHeight="1" x14ac:dyDescent="0.2">
      <c r="A216" s="43" t="s">
        <v>795</v>
      </c>
      <c r="B216" s="46" t="s">
        <v>19</v>
      </c>
      <c r="C216" s="44" t="s">
        <v>805</v>
      </c>
      <c r="D216" s="47">
        <v>13627</v>
      </c>
      <c r="E216" s="46" t="s">
        <v>810</v>
      </c>
      <c r="F216" s="35">
        <v>35274</v>
      </c>
      <c r="G216" s="35">
        <v>35274</v>
      </c>
      <c r="H216" s="35">
        <v>0</v>
      </c>
      <c r="I216" s="35">
        <f t="shared" si="6"/>
        <v>35274</v>
      </c>
      <c r="J216" s="36">
        <f t="shared" si="7"/>
        <v>0</v>
      </c>
      <c r="K216" s="48" t="s">
        <v>14</v>
      </c>
      <c r="L216" s="48" t="s">
        <v>14</v>
      </c>
      <c r="M216" s="38">
        <v>42659</v>
      </c>
      <c r="N216" s="48"/>
      <c r="O216" s="35">
        <v>35274</v>
      </c>
      <c r="P216" s="35"/>
      <c r="Q216" s="35"/>
      <c r="R216" s="35"/>
      <c r="S216" s="58"/>
      <c r="T216" s="58"/>
    </row>
    <row r="217" spans="1:20" s="15" customFormat="1" ht="26.25" customHeight="1" x14ac:dyDescent="0.2">
      <c r="A217" s="43" t="s">
        <v>796</v>
      </c>
      <c r="B217" s="46" t="s">
        <v>19</v>
      </c>
      <c r="C217" s="44" t="s">
        <v>805</v>
      </c>
      <c r="D217" s="47">
        <v>13628</v>
      </c>
      <c r="E217" s="46" t="s">
        <v>811</v>
      </c>
      <c r="F217" s="35">
        <v>36110</v>
      </c>
      <c r="G217" s="35">
        <v>36110</v>
      </c>
      <c r="H217" s="35">
        <v>0</v>
      </c>
      <c r="I217" s="35">
        <f t="shared" si="6"/>
        <v>36110</v>
      </c>
      <c r="J217" s="36">
        <f t="shared" si="7"/>
        <v>0</v>
      </c>
      <c r="K217" s="48" t="s">
        <v>14</v>
      </c>
      <c r="L217" s="48" t="s">
        <v>14</v>
      </c>
      <c r="M217" s="38">
        <v>42659</v>
      </c>
      <c r="N217" s="48"/>
      <c r="O217" s="35">
        <v>36110</v>
      </c>
      <c r="P217" s="35"/>
      <c r="Q217" s="35"/>
      <c r="R217" s="35"/>
      <c r="S217" s="58"/>
      <c r="T217" s="58"/>
    </row>
    <row r="218" spans="1:20" s="15" customFormat="1" ht="26.25" customHeight="1" x14ac:dyDescent="0.2">
      <c r="A218" s="43" t="s">
        <v>801</v>
      </c>
      <c r="B218" s="46" t="s">
        <v>19</v>
      </c>
      <c r="C218" s="44" t="s">
        <v>805</v>
      </c>
      <c r="D218" s="47">
        <v>13880</v>
      </c>
      <c r="E218" s="46" t="s">
        <v>816</v>
      </c>
      <c r="F218" s="35">
        <v>33849</v>
      </c>
      <c r="G218" s="35">
        <v>33849</v>
      </c>
      <c r="H218" s="35">
        <v>0</v>
      </c>
      <c r="I218" s="35">
        <f t="shared" si="6"/>
        <v>33849</v>
      </c>
      <c r="J218" s="36">
        <f t="shared" si="7"/>
        <v>0</v>
      </c>
      <c r="K218" s="48" t="s">
        <v>14</v>
      </c>
      <c r="L218" s="48" t="s">
        <v>14</v>
      </c>
      <c r="M218" s="38">
        <v>42766</v>
      </c>
      <c r="N218" s="48"/>
      <c r="O218" s="35">
        <v>33849</v>
      </c>
      <c r="P218" s="35"/>
      <c r="Q218" s="35"/>
      <c r="R218" s="35"/>
      <c r="S218" s="58"/>
      <c r="T218" s="58"/>
    </row>
    <row r="219" spans="1:20" s="15" customFormat="1" ht="26.25" customHeight="1" x14ac:dyDescent="0.2">
      <c r="A219" s="43" t="s">
        <v>703</v>
      </c>
      <c r="B219" s="46" t="s">
        <v>19</v>
      </c>
      <c r="C219" s="44" t="s">
        <v>713</v>
      </c>
      <c r="D219" s="47">
        <v>13624</v>
      </c>
      <c r="E219" s="46" t="s">
        <v>720</v>
      </c>
      <c r="F219" s="35">
        <v>17915</v>
      </c>
      <c r="G219" s="35">
        <v>17915</v>
      </c>
      <c r="H219" s="35">
        <v>0</v>
      </c>
      <c r="I219" s="35">
        <f t="shared" si="6"/>
        <v>17915</v>
      </c>
      <c r="J219" s="36">
        <f t="shared" si="7"/>
        <v>0</v>
      </c>
      <c r="K219" s="48" t="s">
        <v>14</v>
      </c>
      <c r="L219" s="48" t="s">
        <v>14</v>
      </c>
      <c r="M219" s="38">
        <v>42659</v>
      </c>
      <c r="N219" s="48"/>
      <c r="O219" s="35">
        <v>17915</v>
      </c>
      <c r="P219" s="35"/>
      <c r="Q219" s="35"/>
      <c r="R219" s="35"/>
      <c r="S219" s="58"/>
      <c r="T219" s="58"/>
    </row>
    <row r="220" spans="1:20" s="15" customFormat="1" ht="26.25" customHeight="1" x14ac:dyDescent="0.2">
      <c r="A220" s="43" t="s">
        <v>447</v>
      </c>
      <c r="B220" s="46" t="s">
        <v>19</v>
      </c>
      <c r="C220" s="44" t="s">
        <v>453</v>
      </c>
      <c r="D220" s="47">
        <v>13551</v>
      </c>
      <c r="E220" s="46" t="s">
        <v>457</v>
      </c>
      <c r="F220" s="35">
        <v>86230</v>
      </c>
      <c r="G220" s="35">
        <v>86230</v>
      </c>
      <c r="H220" s="35">
        <v>0</v>
      </c>
      <c r="I220" s="35">
        <f t="shared" si="6"/>
        <v>86230</v>
      </c>
      <c r="J220" s="36">
        <f t="shared" si="7"/>
        <v>0</v>
      </c>
      <c r="K220" s="48" t="s">
        <v>14</v>
      </c>
      <c r="L220" s="48" t="s">
        <v>14</v>
      </c>
      <c r="M220" s="38">
        <v>42704</v>
      </c>
      <c r="N220" s="48"/>
      <c r="O220" s="35">
        <v>86230</v>
      </c>
      <c r="P220" s="35"/>
      <c r="Q220" s="35"/>
      <c r="R220" s="35"/>
      <c r="S220" s="58"/>
      <c r="T220" s="58"/>
    </row>
    <row r="221" spans="1:20" s="15" customFormat="1" ht="18" customHeight="1" x14ac:dyDescent="0.2">
      <c r="A221" s="43" t="s">
        <v>594</v>
      </c>
      <c r="B221" s="46" t="s">
        <v>19</v>
      </c>
      <c r="C221" s="44" t="s">
        <v>602</v>
      </c>
      <c r="D221" s="47">
        <v>13776</v>
      </c>
      <c r="E221" s="46" t="s">
        <v>668</v>
      </c>
      <c r="F221" s="35">
        <v>31950</v>
      </c>
      <c r="G221" s="35">
        <v>31950</v>
      </c>
      <c r="H221" s="35">
        <v>0</v>
      </c>
      <c r="I221" s="35">
        <f t="shared" si="6"/>
        <v>31950</v>
      </c>
      <c r="J221" s="36">
        <f t="shared" si="7"/>
        <v>0</v>
      </c>
      <c r="K221" s="48" t="s">
        <v>14</v>
      </c>
      <c r="L221" s="48" t="s">
        <v>14</v>
      </c>
      <c r="M221" s="38">
        <v>42916</v>
      </c>
      <c r="N221" s="48"/>
      <c r="O221" s="35">
        <v>31950</v>
      </c>
      <c r="P221" s="35"/>
      <c r="Q221" s="35"/>
      <c r="R221" s="35"/>
      <c r="S221" s="58"/>
      <c r="T221" s="58"/>
    </row>
    <row r="222" spans="1:20" s="15" customFormat="1" ht="18" customHeight="1" x14ac:dyDescent="0.2">
      <c r="A222" s="43" t="s">
        <v>619</v>
      </c>
      <c r="B222" s="46" t="s">
        <v>19</v>
      </c>
      <c r="C222" s="44" t="s">
        <v>637</v>
      </c>
      <c r="D222" s="47">
        <v>13774</v>
      </c>
      <c r="E222" s="46" t="s">
        <v>667</v>
      </c>
      <c r="F222" s="35">
        <v>22400</v>
      </c>
      <c r="G222" s="35">
        <v>22400</v>
      </c>
      <c r="H222" s="35">
        <v>0</v>
      </c>
      <c r="I222" s="35">
        <f t="shared" si="6"/>
        <v>22400</v>
      </c>
      <c r="J222" s="36">
        <f t="shared" si="7"/>
        <v>0</v>
      </c>
      <c r="K222" s="48" t="s">
        <v>14</v>
      </c>
      <c r="L222" s="48" t="s">
        <v>14</v>
      </c>
      <c r="M222" s="38">
        <v>42916</v>
      </c>
      <c r="N222" s="48"/>
      <c r="O222" s="35">
        <v>22400</v>
      </c>
      <c r="P222" s="35"/>
      <c r="Q222" s="35"/>
      <c r="R222" s="35"/>
      <c r="S222" s="58"/>
      <c r="T222" s="58"/>
    </row>
    <row r="223" spans="1:20" s="15" customFormat="1" ht="26.25" customHeight="1" x14ac:dyDescent="0.2">
      <c r="A223" s="43" t="s">
        <v>762</v>
      </c>
      <c r="B223" s="46" t="s">
        <v>19</v>
      </c>
      <c r="C223" s="44" t="s">
        <v>637</v>
      </c>
      <c r="D223" s="47">
        <v>14058</v>
      </c>
      <c r="E223" s="46" t="s">
        <v>787</v>
      </c>
      <c r="F223" s="35">
        <v>14375</v>
      </c>
      <c r="G223" s="35">
        <v>14375</v>
      </c>
      <c r="H223" s="35">
        <v>0</v>
      </c>
      <c r="I223" s="35">
        <f t="shared" si="6"/>
        <v>14375</v>
      </c>
      <c r="J223" s="36">
        <f t="shared" si="7"/>
        <v>0</v>
      </c>
      <c r="K223" s="48" t="s">
        <v>14</v>
      </c>
      <c r="L223" s="48" t="s">
        <v>14</v>
      </c>
      <c r="M223" s="38">
        <v>42916</v>
      </c>
      <c r="N223" s="48"/>
      <c r="O223" s="35">
        <v>14375</v>
      </c>
      <c r="P223" s="35"/>
      <c r="Q223" s="35"/>
      <c r="R223" s="35"/>
      <c r="S223" s="58"/>
      <c r="T223" s="58"/>
    </row>
    <row r="224" spans="1:20" s="15" customFormat="1" ht="18" customHeight="1" x14ac:dyDescent="0.2">
      <c r="A224" s="43" t="s">
        <v>593</v>
      </c>
      <c r="B224" s="46" t="s">
        <v>19</v>
      </c>
      <c r="C224" s="44" t="s">
        <v>601</v>
      </c>
      <c r="D224" s="47">
        <v>13775</v>
      </c>
      <c r="E224" s="46" t="s">
        <v>668</v>
      </c>
      <c r="F224" s="35">
        <v>21230</v>
      </c>
      <c r="G224" s="35">
        <v>21230</v>
      </c>
      <c r="H224" s="35">
        <v>0</v>
      </c>
      <c r="I224" s="35">
        <f t="shared" si="6"/>
        <v>21230</v>
      </c>
      <c r="J224" s="36">
        <f t="shared" si="7"/>
        <v>0</v>
      </c>
      <c r="K224" s="48" t="s">
        <v>14</v>
      </c>
      <c r="L224" s="48" t="s">
        <v>14</v>
      </c>
      <c r="M224" s="38">
        <v>42916</v>
      </c>
      <c r="N224" s="48"/>
      <c r="O224" s="35">
        <v>21230</v>
      </c>
      <c r="P224" s="35"/>
      <c r="Q224" s="35"/>
      <c r="R224" s="35"/>
      <c r="S224" s="58"/>
      <c r="T224" s="58"/>
    </row>
    <row r="225" spans="1:20" s="15" customFormat="1" ht="18" customHeight="1" x14ac:dyDescent="0.2">
      <c r="A225" s="43" t="s">
        <v>586</v>
      </c>
      <c r="B225" s="46" t="s">
        <v>19</v>
      </c>
      <c r="C225" s="44" t="s">
        <v>589</v>
      </c>
      <c r="D225" s="47">
        <v>13773</v>
      </c>
      <c r="E225" s="46" t="s">
        <v>587</v>
      </c>
      <c r="F225" s="35">
        <v>62700</v>
      </c>
      <c r="G225" s="35">
        <v>62700</v>
      </c>
      <c r="H225" s="35">
        <v>0</v>
      </c>
      <c r="I225" s="35">
        <f t="shared" si="6"/>
        <v>62700</v>
      </c>
      <c r="J225" s="36">
        <f t="shared" si="7"/>
        <v>0</v>
      </c>
      <c r="K225" s="48" t="s">
        <v>14</v>
      </c>
      <c r="L225" s="48" t="s">
        <v>14</v>
      </c>
      <c r="M225" s="38">
        <v>42916</v>
      </c>
      <c r="N225" s="48"/>
      <c r="O225" s="35">
        <v>62700</v>
      </c>
      <c r="P225" s="35"/>
      <c r="Q225" s="35"/>
      <c r="R225" s="35"/>
      <c r="S225" s="58"/>
      <c r="T225" s="58"/>
    </row>
    <row r="226" spans="1:20" s="15" customFormat="1" ht="26.25" customHeight="1" x14ac:dyDescent="0.2">
      <c r="A226" s="43" t="s">
        <v>704</v>
      </c>
      <c r="B226" s="46" t="s">
        <v>19</v>
      </c>
      <c r="C226" s="44" t="s">
        <v>589</v>
      </c>
      <c r="D226" s="47">
        <v>13629</v>
      </c>
      <c r="E226" s="46" t="s">
        <v>721</v>
      </c>
      <c r="F226" s="35">
        <v>38950</v>
      </c>
      <c r="G226" s="35">
        <v>38950</v>
      </c>
      <c r="H226" s="35">
        <v>0</v>
      </c>
      <c r="I226" s="35">
        <f t="shared" si="6"/>
        <v>38950</v>
      </c>
      <c r="J226" s="36">
        <f t="shared" si="7"/>
        <v>0</v>
      </c>
      <c r="K226" s="48" t="s">
        <v>14</v>
      </c>
      <c r="L226" s="48" t="s">
        <v>14</v>
      </c>
      <c r="M226" s="38">
        <v>42659</v>
      </c>
      <c r="N226" s="48"/>
      <c r="O226" s="35">
        <v>38950</v>
      </c>
      <c r="P226" s="35"/>
      <c r="Q226" s="35"/>
      <c r="R226" s="35"/>
      <c r="S226" s="58"/>
      <c r="T226" s="58"/>
    </row>
    <row r="227" spans="1:20" s="15" customFormat="1" ht="26.25" customHeight="1" x14ac:dyDescent="0.2">
      <c r="A227" s="43" t="s">
        <v>761</v>
      </c>
      <c r="B227" s="46" t="s">
        <v>19</v>
      </c>
      <c r="C227" s="44" t="s">
        <v>774</v>
      </c>
      <c r="D227" s="47">
        <v>14046</v>
      </c>
      <c r="E227" s="46" t="s">
        <v>786</v>
      </c>
      <c r="F227" s="35">
        <v>27846</v>
      </c>
      <c r="G227" s="35">
        <v>27846</v>
      </c>
      <c r="H227" s="35">
        <v>0</v>
      </c>
      <c r="I227" s="35">
        <f t="shared" si="6"/>
        <v>27846</v>
      </c>
      <c r="J227" s="36">
        <f t="shared" si="7"/>
        <v>0</v>
      </c>
      <c r="K227" s="48" t="s">
        <v>14</v>
      </c>
      <c r="L227" s="48" t="s">
        <v>14</v>
      </c>
      <c r="M227" s="38">
        <v>42946</v>
      </c>
      <c r="N227" s="48"/>
      <c r="O227" s="35">
        <v>27846</v>
      </c>
      <c r="P227" s="35"/>
      <c r="Q227" s="35"/>
      <c r="R227" s="35"/>
      <c r="S227" s="58"/>
      <c r="T227" s="58"/>
    </row>
    <row r="228" spans="1:20" s="15" customFormat="1" ht="26.25" customHeight="1" x14ac:dyDescent="0.2">
      <c r="A228" s="43" t="s">
        <v>460</v>
      </c>
      <c r="B228" s="46" t="s">
        <v>19</v>
      </c>
      <c r="C228" s="44" t="s">
        <v>475</v>
      </c>
      <c r="D228" s="47">
        <v>13614</v>
      </c>
      <c r="E228" s="46" t="s">
        <v>487</v>
      </c>
      <c r="F228" s="35">
        <v>15000</v>
      </c>
      <c r="G228" s="35">
        <v>15000</v>
      </c>
      <c r="H228" s="35">
        <v>0</v>
      </c>
      <c r="I228" s="35">
        <f t="shared" si="6"/>
        <v>15000</v>
      </c>
      <c r="J228" s="36">
        <f t="shared" si="7"/>
        <v>0</v>
      </c>
      <c r="K228" s="48" t="s">
        <v>14</v>
      </c>
      <c r="L228" s="48" t="s">
        <v>14</v>
      </c>
      <c r="M228" s="38">
        <v>42916</v>
      </c>
      <c r="N228" s="48"/>
      <c r="O228" s="35">
        <v>15000</v>
      </c>
      <c r="P228" s="35"/>
      <c r="Q228" s="35"/>
      <c r="R228" s="35"/>
      <c r="S228" s="58"/>
      <c r="T228" s="58"/>
    </row>
    <row r="229" spans="1:20" s="15" customFormat="1" ht="26.25" customHeight="1" x14ac:dyDescent="0.2">
      <c r="A229" s="43" t="s">
        <v>419</v>
      </c>
      <c r="B229" s="46" t="s">
        <v>19</v>
      </c>
      <c r="C229" s="44" t="s">
        <v>426</v>
      </c>
      <c r="D229" s="47">
        <v>13484</v>
      </c>
      <c r="E229" s="46" t="s">
        <v>432</v>
      </c>
      <c r="F229" s="35">
        <v>5293</v>
      </c>
      <c r="G229" s="35">
        <v>5293</v>
      </c>
      <c r="H229" s="35">
        <v>0</v>
      </c>
      <c r="I229" s="35">
        <f t="shared" si="6"/>
        <v>5293</v>
      </c>
      <c r="J229" s="36">
        <f t="shared" si="7"/>
        <v>0</v>
      </c>
      <c r="K229" s="48" t="s">
        <v>14</v>
      </c>
      <c r="L229" s="48" t="s">
        <v>14</v>
      </c>
      <c r="M229" s="38">
        <v>42643</v>
      </c>
      <c r="N229" s="48"/>
      <c r="O229" s="35">
        <v>5293</v>
      </c>
      <c r="P229" s="35"/>
      <c r="Q229" s="35"/>
      <c r="R229" s="35"/>
      <c r="S229" s="58"/>
      <c r="T229" s="58"/>
    </row>
    <row r="230" spans="1:20" s="15" customFormat="1" ht="26.25" customHeight="1" x14ac:dyDescent="0.2">
      <c r="A230" s="43" t="s">
        <v>754</v>
      </c>
      <c r="B230" s="46" t="s">
        <v>19</v>
      </c>
      <c r="C230" s="44" t="s">
        <v>768</v>
      </c>
      <c r="D230" s="47">
        <v>14044</v>
      </c>
      <c r="E230" s="46" t="s">
        <v>779</v>
      </c>
      <c r="F230" s="35">
        <v>25000</v>
      </c>
      <c r="G230" s="35">
        <v>25000</v>
      </c>
      <c r="H230" s="35">
        <v>0</v>
      </c>
      <c r="I230" s="35">
        <f t="shared" si="6"/>
        <v>25000</v>
      </c>
      <c r="J230" s="36">
        <f t="shared" si="7"/>
        <v>0</v>
      </c>
      <c r="K230" s="48" t="s">
        <v>14</v>
      </c>
      <c r="L230" s="48" t="s">
        <v>14</v>
      </c>
      <c r="M230" s="38">
        <v>42916</v>
      </c>
      <c r="N230" s="48"/>
      <c r="O230" s="35">
        <v>25000</v>
      </c>
      <c r="P230" s="35"/>
      <c r="Q230" s="35"/>
      <c r="R230" s="35"/>
      <c r="S230" s="58"/>
      <c r="T230" s="58"/>
    </row>
    <row r="231" spans="1:20" s="15" customFormat="1" ht="26.25" customHeight="1" x14ac:dyDescent="0.2">
      <c r="A231" s="43" t="s">
        <v>304</v>
      </c>
      <c r="B231" s="46" t="s">
        <v>19</v>
      </c>
      <c r="C231" s="44" t="s">
        <v>81</v>
      </c>
      <c r="D231" s="47">
        <v>13213</v>
      </c>
      <c r="E231" s="46" t="s">
        <v>327</v>
      </c>
      <c r="F231" s="35">
        <v>12792</v>
      </c>
      <c r="G231" s="35">
        <v>12792</v>
      </c>
      <c r="H231" s="35">
        <v>0</v>
      </c>
      <c r="I231" s="35">
        <f t="shared" si="6"/>
        <v>12792</v>
      </c>
      <c r="J231" s="36">
        <f t="shared" si="7"/>
        <v>0</v>
      </c>
      <c r="K231" s="48" t="s">
        <v>14</v>
      </c>
      <c r="L231" s="48" t="s">
        <v>14</v>
      </c>
      <c r="M231" s="38">
        <v>42977</v>
      </c>
      <c r="N231" s="48"/>
      <c r="O231" s="35">
        <v>12792</v>
      </c>
      <c r="P231" s="35"/>
      <c r="Q231" s="35"/>
      <c r="R231" s="35"/>
      <c r="S231" s="58"/>
      <c r="T231" s="58"/>
    </row>
    <row r="232" spans="1:20" s="15" customFormat="1" ht="26.25" customHeight="1" x14ac:dyDescent="0.2">
      <c r="A232" s="43" t="s">
        <v>416</v>
      </c>
      <c r="B232" s="46" t="s">
        <v>19</v>
      </c>
      <c r="C232" s="44" t="s">
        <v>423</v>
      </c>
      <c r="D232" s="47">
        <v>13328</v>
      </c>
      <c r="E232" s="46" t="s">
        <v>434</v>
      </c>
      <c r="F232" s="35">
        <v>15000</v>
      </c>
      <c r="G232" s="35">
        <v>15000</v>
      </c>
      <c r="H232" s="35">
        <v>0</v>
      </c>
      <c r="I232" s="35">
        <f t="shared" si="6"/>
        <v>15000</v>
      </c>
      <c r="J232" s="36">
        <f t="shared" si="7"/>
        <v>0</v>
      </c>
      <c r="K232" s="48" t="s">
        <v>14</v>
      </c>
      <c r="L232" s="48" t="s">
        <v>14</v>
      </c>
      <c r="M232" s="38">
        <v>42916</v>
      </c>
      <c r="N232" s="48"/>
      <c r="O232" s="35">
        <v>15000</v>
      </c>
      <c r="P232" s="35"/>
      <c r="Q232" s="35"/>
      <c r="R232" s="35"/>
      <c r="S232" s="58"/>
      <c r="T232" s="58"/>
    </row>
    <row r="233" spans="1:20" s="15" customFormat="1" ht="26.25" customHeight="1" x14ac:dyDescent="0.2">
      <c r="A233" s="43" t="s">
        <v>115</v>
      </c>
      <c r="B233" s="46" t="s">
        <v>19</v>
      </c>
      <c r="C233" s="44" t="s">
        <v>128</v>
      </c>
      <c r="D233" s="47">
        <v>12916</v>
      </c>
      <c r="E233" s="46" t="s">
        <v>147</v>
      </c>
      <c r="F233" s="35">
        <v>25001</v>
      </c>
      <c r="G233" s="35">
        <v>25001</v>
      </c>
      <c r="H233" s="35">
        <v>0</v>
      </c>
      <c r="I233" s="49">
        <f t="shared" si="6"/>
        <v>25001</v>
      </c>
      <c r="J233" s="51">
        <f t="shared" si="7"/>
        <v>0</v>
      </c>
      <c r="K233" s="48" t="s">
        <v>14</v>
      </c>
      <c r="L233" s="48" t="s">
        <v>14</v>
      </c>
      <c r="M233" s="38">
        <v>42575</v>
      </c>
      <c r="N233" s="48"/>
      <c r="O233" s="35">
        <v>25001</v>
      </c>
      <c r="P233" s="35"/>
      <c r="Q233" s="35"/>
      <c r="R233" s="35"/>
      <c r="S233" s="58"/>
      <c r="T233" s="58"/>
    </row>
    <row r="234" spans="1:20" s="15" customFormat="1" ht="26.25" customHeight="1" x14ac:dyDescent="0.2">
      <c r="A234" s="43" t="s">
        <v>526</v>
      </c>
      <c r="B234" s="46" t="s">
        <v>19</v>
      </c>
      <c r="C234" s="44" t="s">
        <v>128</v>
      </c>
      <c r="D234" s="47">
        <v>13519</v>
      </c>
      <c r="E234" s="46" t="s">
        <v>457</v>
      </c>
      <c r="F234" s="35">
        <v>48039</v>
      </c>
      <c r="G234" s="35">
        <v>48039</v>
      </c>
      <c r="H234" s="35">
        <v>0</v>
      </c>
      <c r="I234" s="35">
        <f t="shared" si="6"/>
        <v>48039</v>
      </c>
      <c r="J234" s="36">
        <f t="shared" si="7"/>
        <v>0</v>
      </c>
      <c r="K234" s="48" t="s">
        <v>14</v>
      </c>
      <c r="L234" s="48" t="s">
        <v>14</v>
      </c>
      <c r="M234" s="38">
        <v>42704</v>
      </c>
      <c r="N234" s="48"/>
      <c r="O234" s="35">
        <v>48039</v>
      </c>
      <c r="P234" s="35"/>
      <c r="Q234" s="35"/>
      <c r="R234" s="35"/>
      <c r="S234" s="58"/>
      <c r="T234" s="58"/>
    </row>
    <row r="235" spans="1:20" s="15" customFormat="1" ht="26.25" customHeight="1" x14ac:dyDescent="0.2">
      <c r="A235" s="43" t="s">
        <v>822</v>
      </c>
      <c r="B235" s="46" t="s">
        <v>19</v>
      </c>
      <c r="C235" s="44" t="s">
        <v>128</v>
      </c>
      <c r="D235" s="47">
        <v>13622</v>
      </c>
      <c r="E235" s="46" t="s">
        <v>824</v>
      </c>
      <c r="F235" s="35">
        <v>50000</v>
      </c>
      <c r="G235" s="35">
        <v>50000</v>
      </c>
      <c r="H235" s="35">
        <v>0</v>
      </c>
      <c r="I235" s="35">
        <f t="shared" si="6"/>
        <v>50000</v>
      </c>
      <c r="J235" s="36">
        <f t="shared" si="7"/>
        <v>0</v>
      </c>
      <c r="K235" s="48" t="s">
        <v>14</v>
      </c>
      <c r="L235" s="48" t="s">
        <v>14</v>
      </c>
      <c r="M235" s="38">
        <v>42659</v>
      </c>
      <c r="N235" s="48"/>
      <c r="O235" s="35">
        <v>50000</v>
      </c>
      <c r="P235" s="35"/>
      <c r="Q235" s="35"/>
      <c r="R235" s="35"/>
      <c r="S235" s="58"/>
      <c r="T235" s="58"/>
    </row>
    <row r="236" spans="1:20" s="15" customFormat="1" ht="26.25" customHeight="1" x14ac:dyDescent="0.2">
      <c r="A236" s="43" t="s">
        <v>879</v>
      </c>
      <c r="B236" s="46" t="s">
        <v>19</v>
      </c>
      <c r="C236" s="44" t="s">
        <v>128</v>
      </c>
      <c r="D236" s="47">
        <v>14236</v>
      </c>
      <c r="E236" s="46" t="s">
        <v>886</v>
      </c>
      <c r="F236" s="35">
        <v>11398</v>
      </c>
      <c r="G236" s="35">
        <v>11398</v>
      </c>
      <c r="H236" s="35">
        <v>0</v>
      </c>
      <c r="I236" s="35">
        <f t="shared" si="6"/>
        <v>11398</v>
      </c>
      <c r="J236" s="36">
        <f t="shared" si="7"/>
        <v>0</v>
      </c>
      <c r="K236" s="48" t="s">
        <v>14</v>
      </c>
      <c r="L236" s="48" t="s">
        <v>14</v>
      </c>
      <c r="M236" s="38">
        <v>42671</v>
      </c>
      <c r="N236" s="48"/>
      <c r="O236" s="35">
        <v>11398</v>
      </c>
      <c r="P236" s="35"/>
      <c r="Q236" s="35"/>
      <c r="R236" s="35"/>
      <c r="S236" s="58"/>
      <c r="T236" s="58"/>
    </row>
    <row r="237" spans="1:20" s="15" customFormat="1" ht="26.25" customHeight="1" x14ac:dyDescent="0.2">
      <c r="A237" s="43" t="s">
        <v>233</v>
      </c>
      <c r="B237" s="46" t="s">
        <v>19</v>
      </c>
      <c r="C237" s="44" t="s">
        <v>254</v>
      </c>
      <c r="D237" s="47">
        <v>13016</v>
      </c>
      <c r="E237" s="46" t="s">
        <v>270</v>
      </c>
      <c r="F237" s="35">
        <v>10000</v>
      </c>
      <c r="G237" s="40">
        <v>10000</v>
      </c>
      <c r="H237" s="35">
        <v>0</v>
      </c>
      <c r="I237" s="35">
        <f t="shared" si="6"/>
        <v>10000</v>
      </c>
      <c r="J237" s="36">
        <f t="shared" si="7"/>
        <v>0</v>
      </c>
      <c r="K237" s="48" t="s">
        <v>14</v>
      </c>
      <c r="L237" s="48" t="s">
        <v>14</v>
      </c>
      <c r="M237" s="38">
        <v>42916</v>
      </c>
      <c r="N237" s="48"/>
      <c r="O237" s="35">
        <v>10000</v>
      </c>
      <c r="P237" s="35"/>
      <c r="Q237" s="35"/>
      <c r="R237" s="35"/>
      <c r="S237" s="58"/>
      <c r="T237" s="58"/>
    </row>
    <row r="238" spans="1:20" s="15" customFormat="1" ht="26.25" customHeight="1" x14ac:dyDescent="0.2">
      <c r="A238" s="43" t="s">
        <v>553</v>
      </c>
      <c r="B238" s="46" t="s">
        <v>19</v>
      </c>
      <c r="C238" s="44" t="s">
        <v>254</v>
      </c>
      <c r="D238" s="47">
        <v>13735</v>
      </c>
      <c r="E238" s="46" t="s">
        <v>570</v>
      </c>
      <c r="F238" s="35">
        <v>15000</v>
      </c>
      <c r="G238" s="35">
        <v>15000</v>
      </c>
      <c r="H238" s="35">
        <v>0</v>
      </c>
      <c r="I238" s="35">
        <f t="shared" si="6"/>
        <v>15000</v>
      </c>
      <c r="J238" s="36">
        <f t="shared" si="7"/>
        <v>0</v>
      </c>
      <c r="K238" s="48" t="s">
        <v>14</v>
      </c>
      <c r="L238" s="48" t="s">
        <v>14</v>
      </c>
      <c r="M238" s="38">
        <v>42916</v>
      </c>
      <c r="N238" s="48"/>
      <c r="O238" s="35">
        <v>15000</v>
      </c>
      <c r="P238" s="35"/>
      <c r="Q238" s="35"/>
      <c r="R238" s="35"/>
      <c r="S238" s="58"/>
      <c r="T238" s="58"/>
    </row>
    <row r="239" spans="1:20" s="15" customFormat="1" ht="26.25" customHeight="1" x14ac:dyDescent="0.2">
      <c r="A239" s="43" t="s">
        <v>415</v>
      </c>
      <c r="B239" s="46" t="s">
        <v>19</v>
      </c>
      <c r="C239" s="44" t="s">
        <v>422</v>
      </c>
      <c r="D239" s="47">
        <v>12946</v>
      </c>
      <c r="E239" s="46" t="s">
        <v>429</v>
      </c>
      <c r="F239" s="35">
        <v>30000</v>
      </c>
      <c r="G239" s="35">
        <v>30000</v>
      </c>
      <c r="H239" s="35">
        <v>0</v>
      </c>
      <c r="I239" s="35">
        <f t="shared" si="6"/>
        <v>30000</v>
      </c>
      <c r="J239" s="36">
        <f t="shared" si="7"/>
        <v>0</v>
      </c>
      <c r="K239" s="48" t="s">
        <v>14</v>
      </c>
      <c r="L239" s="48" t="s">
        <v>14</v>
      </c>
      <c r="M239" s="38">
        <v>42916</v>
      </c>
      <c r="N239" s="48"/>
      <c r="O239" s="35">
        <v>30000</v>
      </c>
      <c r="P239" s="35"/>
      <c r="Q239" s="35"/>
      <c r="R239" s="35"/>
      <c r="S239" s="58"/>
      <c r="T239" s="58"/>
    </row>
    <row r="240" spans="1:20" s="15" customFormat="1" ht="26.25" customHeight="1" x14ac:dyDescent="0.2">
      <c r="A240" s="43" t="s">
        <v>309</v>
      </c>
      <c r="B240" s="46" t="s">
        <v>19</v>
      </c>
      <c r="C240" s="44" t="s">
        <v>317</v>
      </c>
      <c r="D240" s="47">
        <v>13283</v>
      </c>
      <c r="E240" s="46" t="s">
        <v>75</v>
      </c>
      <c r="F240" s="35">
        <v>9560</v>
      </c>
      <c r="G240" s="40">
        <v>9560</v>
      </c>
      <c r="H240" s="35">
        <v>0</v>
      </c>
      <c r="I240" s="35">
        <f t="shared" si="6"/>
        <v>9560</v>
      </c>
      <c r="J240" s="36">
        <f t="shared" si="7"/>
        <v>0</v>
      </c>
      <c r="K240" s="48" t="s">
        <v>14</v>
      </c>
      <c r="L240" s="48" t="s">
        <v>14</v>
      </c>
      <c r="M240" s="38">
        <v>42916</v>
      </c>
      <c r="N240" s="48"/>
      <c r="O240" s="35">
        <v>9560</v>
      </c>
      <c r="P240" s="35"/>
      <c r="Q240" s="35"/>
      <c r="R240" s="35"/>
      <c r="S240" s="58"/>
      <c r="T240" s="58"/>
    </row>
    <row r="241" spans="1:20" s="15" customFormat="1" ht="26.25" customHeight="1" x14ac:dyDescent="0.2">
      <c r="A241" s="43" t="s">
        <v>552</v>
      </c>
      <c r="B241" s="46" t="s">
        <v>19</v>
      </c>
      <c r="C241" s="44" t="s">
        <v>317</v>
      </c>
      <c r="D241" s="47">
        <v>13704</v>
      </c>
      <c r="E241" s="46" t="s">
        <v>571</v>
      </c>
      <c r="F241" s="35">
        <v>16331</v>
      </c>
      <c r="G241" s="35">
        <v>6788</v>
      </c>
      <c r="H241" s="35">
        <v>16331</v>
      </c>
      <c r="I241" s="35">
        <f t="shared" si="6"/>
        <v>23119</v>
      </c>
      <c r="J241" s="36">
        <f t="shared" si="7"/>
        <v>2.4058632881555688</v>
      </c>
      <c r="K241" s="48" t="s">
        <v>14</v>
      </c>
      <c r="L241" s="48" t="s">
        <v>14</v>
      </c>
      <c r="M241" s="38">
        <v>42916</v>
      </c>
      <c r="N241" s="48" t="s">
        <v>28</v>
      </c>
      <c r="O241" s="35">
        <v>16331</v>
      </c>
      <c r="P241" s="35"/>
      <c r="Q241" s="35"/>
      <c r="R241" s="35"/>
      <c r="S241" s="58"/>
      <c r="T241" s="58"/>
    </row>
    <row r="242" spans="1:20" s="15" customFormat="1" ht="26.25" customHeight="1" x14ac:dyDescent="0.2">
      <c r="A242" s="43" t="s">
        <v>979</v>
      </c>
      <c r="B242" s="46" t="s">
        <v>19</v>
      </c>
      <c r="C242" s="44" t="s">
        <v>317</v>
      </c>
      <c r="D242" s="54" t="s">
        <v>991</v>
      </c>
      <c r="E242" s="46" t="s">
        <v>1000</v>
      </c>
      <c r="F242" s="35">
        <v>6000</v>
      </c>
      <c r="G242" s="35">
        <v>16331</v>
      </c>
      <c r="H242" s="35">
        <v>6000</v>
      </c>
      <c r="I242" s="35">
        <f t="shared" si="6"/>
        <v>22331</v>
      </c>
      <c r="J242" s="36">
        <f t="shared" si="7"/>
        <v>0.36739942440756845</v>
      </c>
      <c r="K242" s="48" t="s">
        <v>14</v>
      </c>
      <c r="L242" s="48" t="s">
        <v>14</v>
      </c>
      <c r="M242" s="38">
        <v>42916</v>
      </c>
      <c r="N242" s="48" t="s">
        <v>28</v>
      </c>
      <c r="O242" s="35">
        <v>6000</v>
      </c>
      <c r="P242" s="35"/>
      <c r="Q242" s="35"/>
      <c r="R242" s="35"/>
      <c r="S242" s="58"/>
      <c r="T242" s="58"/>
    </row>
    <row r="243" spans="1:20" s="15" customFormat="1" ht="26.25" customHeight="1" x14ac:dyDescent="0.2">
      <c r="A243" s="43" t="s">
        <v>119</v>
      </c>
      <c r="B243" s="46" t="s">
        <v>19</v>
      </c>
      <c r="C243" s="44" t="s">
        <v>131</v>
      </c>
      <c r="D243" s="54">
        <v>12922</v>
      </c>
      <c r="E243" s="46" t="s">
        <v>153</v>
      </c>
      <c r="F243" s="35">
        <v>20000</v>
      </c>
      <c r="G243" s="35">
        <v>20000</v>
      </c>
      <c r="H243" s="35">
        <v>0</v>
      </c>
      <c r="I243" s="49">
        <f t="shared" si="6"/>
        <v>20000</v>
      </c>
      <c r="J243" s="51">
        <f t="shared" si="7"/>
        <v>0</v>
      </c>
      <c r="K243" s="48" t="s">
        <v>14</v>
      </c>
      <c r="L243" s="48" t="s">
        <v>14</v>
      </c>
      <c r="M243" s="38">
        <v>42735</v>
      </c>
      <c r="N243" s="48"/>
      <c r="O243" s="35">
        <v>20000</v>
      </c>
      <c r="P243" s="41"/>
      <c r="Q243" s="41"/>
      <c r="R243" s="41"/>
      <c r="S243" s="58"/>
      <c r="T243" s="58"/>
    </row>
    <row r="244" spans="1:20" s="15" customFormat="1" ht="26.25" customHeight="1" x14ac:dyDescent="0.2">
      <c r="A244" s="43" t="s">
        <v>622</v>
      </c>
      <c r="B244" s="46" t="s">
        <v>19</v>
      </c>
      <c r="C244" s="44" t="s">
        <v>131</v>
      </c>
      <c r="D244" s="54" t="s">
        <v>661</v>
      </c>
      <c r="E244" s="46" t="s">
        <v>665</v>
      </c>
      <c r="F244" s="35">
        <v>20000</v>
      </c>
      <c r="G244" s="35">
        <v>20000</v>
      </c>
      <c r="H244" s="35">
        <v>0</v>
      </c>
      <c r="I244" s="35">
        <f t="shared" si="6"/>
        <v>20000</v>
      </c>
      <c r="J244" s="36">
        <f t="shared" si="7"/>
        <v>0</v>
      </c>
      <c r="K244" s="48" t="s">
        <v>14</v>
      </c>
      <c r="L244" s="48" t="s">
        <v>14</v>
      </c>
      <c r="M244" s="38">
        <v>42916</v>
      </c>
      <c r="N244" s="48"/>
      <c r="O244" s="35">
        <v>20000</v>
      </c>
      <c r="P244" s="35"/>
      <c r="Q244" s="35"/>
      <c r="R244" s="35"/>
      <c r="S244" s="58"/>
      <c r="T244" s="58"/>
    </row>
    <row r="245" spans="1:20" s="15" customFormat="1" ht="26.25" customHeight="1" x14ac:dyDescent="0.2">
      <c r="A245" s="43" t="s">
        <v>354</v>
      </c>
      <c r="B245" s="46" t="s">
        <v>19</v>
      </c>
      <c r="C245" s="44" t="s">
        <v>358</v>
      </c>
      <c r="D245" s="47">
        <v>13356</v>
      </c>
      <c r="E245" s="46" t="s">
        <v>363</v>
      </c>
      <c r="F245" s="35">
        <f>89000*3</f>
        <v>267000</v>
      </c>
      <c r="G245" s="35">
        <f>89000*3</f>
        <v>267000</v>
      </c>
      <c r="H245" s="35">
        <v>0</v>
      </c>
      <c r="I245" s="35">
        <f t="shared" si="6"/>
        <v>267000</v>
      </c>
      <c r="J245" s="36">
        <f t="shared" si="7"/>
        <v>0</v>
      </c>
      <c r="K245" s="48" t="s">
        <v>14</v>
      </c>
      <c r="L245" s="48" t="s">
        <v>15</v>
      </c>
      <c r="M245" s="38">
        <v>42916</v>
      </c>
      <c r="N245" s="48" t="s">
        <v>18</v>
      </c>
      <c r="O245" s="35">
        <v>89000</v>
      </c>
      <c r="P245" s="35">
        <v>89000</v>
      </c>
      <c r="Q245" s="35">
        <v>89000</v>
      </c>
      <c r="R245" s="35"/>
      <c r="S245" s="58"/>
      <c r="T245" s="58"/>
    </row>
    <row r="246" spans="1:20" s="15" customFormat="1" ht="26.25" customHeight="1" x14ac:dyDescent="0.2">
      <c r="A246" s="43" t="s">
        <v>1005</v>
      </c>
      <c r="B246" s="46" t="s">
        <v>19</v>
      </c>
      <c r="C246" s="44" t="s">
        <v>358</v>
      </c>
      <c r="D246" s="47">
        <v>14543</v>
      </c>
      <c r="E246" s="46" t="s">
        <v>1011</v>
      </c>
      <c r="F246" s="35">
        <v>15000</v>
      </c>
      <c r="G246" s="35">
        <v>74000</v>
      </c>
      <c r="H246" s="35">
        <v>15000</v>
      </c>
      <c r="I246" s="35">
        <f t="shared" si="6"/>
        <v>89000</v>
      </c>
      <c r="J246" s="36">
        <f t="shared" si="7"/>
        <v>0.20270270270270271</v>
      </c>
      <c r="K246" s="48" t="s">
        <v>14</v>
      </c>
      <c r="L246" s="48" t="s">
        <v>14</v>
      </c>
      <c r="M246" s="38">
        <v>42916</v>
      </c>
      <c r="N246" s="48" t="s">
        <v>28</v>
      </c>
      <c r="O246" s="35">
        <v>15000</v>
      </c>
      <c r="P246" s="35"/>
      <c r="Q246" s="35"/>
      <c r="R246" s="35"/>
      <c r="S246" s="58"/>
      <c r="T246" s="58"/>
    </row>
    <row r="247" spans="1:20" s="15" customFormat="1" ht="26.25" customHeight="1" x14ac:dyDescent="0.2">
      <c r="A247" s="43" t="s">
        <v>350</v>
      </c>
      <c r="B247" s="46" t="s">
        <v>19</v>
      </c>
      <c r="C247" s="44" t="s">
        <v>34</v>
      </c>
      <c r="D247" s="47">
        <v>13322</v>
      </c>
      <c r="E247" s="46" t="s">
        <v>359</v>
      </c>
      <c r="F247" s="35">
        <v>60000</v>
      </c>
      <c r="G247" s="35">
        <v>60000</v>
      </c>
      <c r="H247" s="35">
        <v>0</v>
      </c>
      <c r="I247" s="35">
        <f t="shared" si="6"/>
        <v>60000</v>
      </c>
      <c r="J247" s="36">
        <f t="shared" si="7"/>
        <v>0</v>
      </c>
      <c r="K247" s="48" t="s">
        <v>14</v>
      </c>
      <c r="L247" s="48" t="s">
        <v>14</v>
      </c>
      <c r="M247" s="38">
        <v>42645</v>
      </c>
      <c r="N247" s="48"/>
      <c r="O247" s="35">
        <v>60000</v>
      </c>
      <c r="P247" s="35"/>
      <c r="Q247" s="35"/>
      <c r="R247" s="35"/>
      <c r="S247" s="58"/>
      <c r="T247" s="58"/>
    </row>
    <row r="248" spans="1:20" s="15" customFormat="1" ht="26.25" customHeight="1" x14ac:dyDescent="0.2">
      <c r="A248" s="43" t="s">
        <v>459</v>
      </c>
      <c r="B248" s="46" t="s">
        <v>19</v>
      </c>
      <c r="C248" s="44" t="s">
        <v>34</v>
      </c>
      <c r="D248" s="47">
        <v>13615</v>
      </c>
      <c r="E248" s="46" t="s">
        <v>486</v>
      </c>
      <c r="F248" s="35">
        <v>6485</v>
      </c>
      <c r="G248" s="35">
        <v>6485</v>
      </c>
      <c r="H248" s="35">
        <v>0</v>
      </c>
      <c r="I248" s="35">
        <f t="shared" si="6"/>
        <v>6485</v>
      </c>
      <c r="J248" s="36">
        <f t="shared" si="7"/>
        <v>0</v>
      </c>
      <c r="K248" s="48" t="s">
        <v>14</v>
      </c>
      <c r="L248" s="48" t="s">
        <v>14</v>
      </c>
      <c r="M248" s="38">
        <v>42916</v>
      </c>
      <c r="N248" s="48"/>
      <c r="O248" s="35">
        <v>6485</v>
      </c>
      <c r="P248" s="35"/>
      <c r="Q248" s="35"/>
      <c r="R248" s="35"/>
      <c r="S248" s="58"/>
      <c r="T248" s="58"/>
    </row>
    <row r="249" spans="1:20" s="15" customFormat="1" ht="26.25" customHeight="1" x14ac:dyDescent="0.2">
      <c r="A249" s="43" t="s">
        <v>623</v>
      </c>
      <c r="B249" s="46" t="s">
        <v>19</v>
      </c>
      <c r="C249" s="44" t="s">
        <v>34</v>
      </c>
      <c r="D249" s="47">
        <v>13764</v>
      </c>
      <c r="E249" s="46" t="s">
        <v>659</v>
      </c>
      <c r="F249" s="35">
        <v>6700</v>
      </c>
      <c r="G249" s="35">
        <v>6700</v>
      </c>
      <c r="H249" s="35">
        <v>0</v>
      </c>
      <c r="I249" s="35">
        <f t="shared" si="6"/>
        <v>6700</v>
      </c>
      <c r="J249" s="36">
        <f t="shared" si="7"/>
        <v>0</v>
      </c>
      <c r="K249" s="48" t="s">
        <v>14</v>
      </c>
      <c r="L249" s="48" t="s">
        <v>14</v>
      </c>
      <c r="M249" s="38">
        <v>42916</v>
      </c>
      <c r="N249" s="48"/>
      <c r="O249" s="35">
        <v>6700</v>
      </c>
      <c r="P249" s="35"/>
      <c r="Q249" s="35"/>
      <c r="R249" s="35"/>
      <c r="S249" s="58"/>
      <c r="T249" s="58"/>
    </row>
    <row r="250" spans="1:20" s="15" customFormat="1" ht="26.25" customHeight="1" x14ac:dyDescent="0.2">
      <c r="A250" s="43" t="s">
        <v>973</v>
      </c>
      <c r="B250" s="46" t="s">
        <v>19</v>
      </c>
      <c r="C250" s="44" t="s">
        <v>983</v>
      </c>
      <c r="D250" s="47">
        <v>14360</v>
      </c>
      <c r="E250" s="46" t="s">
        <v>994</v>
      </c>
      <c r="F250" s="35">
        <v>10125</v>
      </c>
      <c r="G250" s="35">
        <v>10125</v>
      </c>
      <c r="H250" s="35">
        <v>0</v>
      </c>
      <c r="I250" s="35">
        <f t="shared" si="6"/>
        <v>10125</v>
      </c>
      <c r="J250" s="36">
        <f t="shared" si="7"/>
        <v>0</v>
      </c>
      <c r="K250" s="48" t="s">
        <v>14</v>
      </c>
      <c r="L250" s="48" t="s">
        <v>14</v>
      </c>
      <c r="M250" s="38">
        <v>42916</v>
      </c>
      <c r="N250" s="48"/>
      <c r="O250" s="35">
        <v>10125</v>
      </c>
      <c r="P250" s="35"/>
      <c r="Q250" s="35"/>
      <c r="R250" s="35"/>
      <c r="S250" s="58"/>
      <c r="T250" s="58"/>
    </row>
    <row r="251" spans="1:20" s="15" customFormat="1" ht="26.25" customHeight="1" x14ac:dyDescent="0.2">
      <c r="A251" s="43" t="s">
        <v>972</v>
      </c>
      <c r="B251" s="46" t="s">
        <v>19</v>
      </c>
      <c r="C251" s="44" t="s">
        <v>982</v>
      </c>
      <c r="D251" s="47">
        <v>14359</v>
      </c>
      <c r="E251" s="46" t="s">
        <v>993</v>
      </c>
      <c r="F251" s="35">
        <v>9865</v>
      </c>
      <c r="G251" s="35">
        <v>9865</v>
      </c>
      <c r="H251" s="35">
        <v>0</v>
      </c>
      <c r="I251" s="35">
        <f t="shared" si="6"/>
        <v>9865</v>
      </c>
      <c r="J251" s="36">
        <f t="shared" si="7"/>
        <v>0</v>
      </c>
      <c r="K251" s="48" t="s">
        <v>14</v>
      </c>
      <c r="L251" s="48" t="s">
        <v>14</v>
      </c>
      <c r="M251" s="38">
        <v>42916</v>
      </c>
      <c r="N251" s="48"/>
      <c r="O251" s="35">
        <v>9865</v>
      </c>
      <c r="P251" s="35"/>
      <c r="Q251" s="35"/>
      <c r="R251" s="35"/>
      <c r="S251" s="58"/>
      <c r="T251" s="58"/>
    </row>
    <row r="252" spans="1:20" s="15" customFormat="1" ht="26.25" customHeight="1" x14ac:dyDescent="0.2">
      <c r="A252" s="43" t="s">
        <v>610</v>
      </c>
      <c r="B252" s="46" t="s">
        <v>611</v>
      </c>
      <c r="C252" s="44" t="s">
        <v>613</v>
      </c>
      <c r="D252" s="47" t="s">
        <v>615</v>
      </c>
      <c r="E252" s="46" t="s">
        <v>616</v>
      </c>
      <c r="F252" s="35">
        <f>99000*3</f>
        <v>297000</v>
      </c>
      <c r="G252" s="35">
        <f>99000*3</f>
        <v>297000</v>
      </c>
      <c r="H252" s="35">
        <v>0</v>
      </c>
      <c r="I252" s="35">
        <f t="shared" si="6"/>
        <v>297000</v>
      </c>
      <c r="J252" s="36">
        <f t="shared" si="7"/>
        <v>0</v>
      </c>
      <c r="K252" s="48" t="s">
        <v>14</v>
      </c>
      <c r="L252" s="48" t="s">
        <v>14</v>
      </c>
      <c r="M252" s="38">
        <v>43100</v>
      </c>
      <c r="N252" s="48" t="s">
        <v>18</v>
      </c>
      <c r="O252" s="35">
        <v>99000</v>
      </c>
      <c r="P252" s="35">
        <v>99000</v>
      </c>
      <c r="Q252" s="35">
        <v>99000</v>
      </c>
      <c r="R252" s="35"/>
      <c r="S252" s="58"/>
      <c r="T252" s="58"/>
    </row>
    <row r="253" spans="1:20" s="15" customFormat="1" ht="26.25" customHeight="1" x14ac:dyDescent="0.2">
      <c r="A253" s="43" t="s">
        <v>977</v>
      </c>
      <c r="B253" s="46" t="s">
        <v>22</v>
      </c>
      <c r="C253" s="44" t="s">
        <v>987</v>
      </c>
      <c r="D253" s="47">
        <v>14475</v>
      </c>
      <c r="E253" s="46" t="s">
        <v>998</v>
      </c>
      <c r="F253" s="35">
        <v>25000</v>
      </c>
      <c r="G253" s="35">
        <v>25000</v>
      </c>
      <c r="H253" s="35">
        <v>0</v>
      </c>
      <c r="I253" s="35">
        <f t="shared" si="6"/>
        <v>25000</v>
      </c>
      <c r="J253" s="36">
        <f t="shared" si="7"/>
        <v>0</v>
      </c>
      <c r="K253" s="48" t="s">
        <v>14</v>
      </c>
      <c r="L253" s="48" t="s">
        <v>14</v>
      </c>
      <c r="M253" s="38">
        <v>42916</v>
      </c>
      <c r="N253" s="48"/>
      <c r="O253" s="35">
        <v>25000</v>
      </c>
      <c r="P253" s="35"/>
      <c r="Q253" s="35"/>
      <c r="R253" s="35"/>
      <c r="S253" s="58"/>
      <c r="T253" s="58"/>
    </row>
    <row r="254" spans="1:20" s="15" customFormat="1" ht="26.25" customHeight="1" x14ac:dyDescent="0.2">
      <c r="A254" s="43" t="s">
        <v>1012</v>
      </c>
      <c r="B254" s="46" t="s">
        <v>22</v>
      </c>
      <c r="C254" s="44" t="s">
        <v>1026</v>
      </c>
      <c r="D254" s="47">
        <v>14489</v>
      </c>
      <c r="E254" s="46" t="s">
        <v>1038</v>
      </c>
      <c r="F254" s="35">
        <v>10000</v>
      </c>
      <c r="G254" s="35">
        <v>10000</v>
      </c>
      <c r="H254" s="35">
        <v>0</v>
      </c>
      <c r="I254" s="35">
        <f t="shared" si="6"/>
        <v>10000</v>
      </c>
      <c r="J254" s="36">
        <f t="shared" si="7"/>
        <v>0</v>
      </c>
      <c r="K254" s="48" t="s">
        <v>14</v>
      </c>
      <c r="L254" s="48" t="s">
        <v>14</v>
      </c>
      <c r="M254" s="38">
        <v>42819</v>
      </c>
      <c r="N254" s="48"/>
      <c r="O254" s="35">
        <v>10000</v>
      </c>
      <c r="P254" s="35"/>
      <c r="Q254" s="35"/>
      <c r="R254" s="35"/>
      <c r="S254" s="58"/>
      <c r="T254" s="58"/>
    </row>
    <row r="255" spans="1:20" s="15" customFormat="1" ht="26.25" customHeight="1" x14ac:dyDescent="0.2">
      <c r="A255" s="43" t="s">
        <v>351</v>
      </c>
      <c r="B255" s="46" t="s">
        <v>22</v>
      </c>
      <c r="C255" s="44" t="s">
        <v>355</v>
      </c>
      <c r="D255" s="47">
        <v>13344</v>
      </c>
      <c r="E255" s="46" t="s">
        <v>360</v>
      </c>
      <c r="F255" s="35">
        <f>95000*3</f>
        <v>285000</v>
      </c>
      <c r="G255" s="35">
        <f>95000*3</f>
        <v>285000</v>
      </c>
      <c r="H255" s="35">
        <v>0</v>
      </c>
      <c r="I255" s="35">
        <f t="shared" si="6"/>
        <v>285000</v>
      </c>
      <c r="J255" s="36">
        <f t="shared" si="7"/>
        <v>0</v>
      </c>
      <c r="K255" s="48" t="s">
        <v>14</v>
      </c>
      <c r="L255" s="48" t="s">
        <v>14</v>
      </c>
      <c r="M255" s="38">
        <v>42978</v>
      </c>
      <c r="N255" s="48" t="s">
        <v>18</v>
      </c>
      <c r="O255" s="35">
        <v>95000</v>
      </c>
      <c r="P255" s="35">
        <v>95000</v>
      </c>
      <c r="Q255" s="35">
        <v>95000</v>
      </c>
      <c r="R255" s="35"/>
      <c r="S255" s="58"/>
      <c r="T255" s="58"/>
    </row>
    <row r="256" spans="1:20" s="15" customFormat="1" ht="26.25" customHeight="1" x14ac:dyDescent="0.2">
      <c r="A256" s="43" t="s">
        <v>888</v>
      </c>
      <c r="B256" s="46" t="s">
        <v>22</v>
      </c>
      <c r="C256" s="44" t="s">
        <v>892</v>
      </c>
      <c r="D256" s="47">
        <v>14266</v>
      </c>
      <c r="E256" s="46" t="s">
        <v>897</v>
      </c>
      <c r="F256" s="35">
        <f>49000+98000+98000</f>
        <v>245000</v>
      </c>
      <c r="G256" s="35">
        <f>49000+98000+98000</f>
        <v>245000</v>
      </c>
      <c r="H256" s="35">
        <v>0</v>
      </c>
      <c r="I256" s="35">
        <f t="shared" si="6"/>
        <v>245000</v>
      </c>
      <c r="J256" s="36">
        <f t="shared" si="7"/>
        <v>0</v>
      </c>
      <c r="K256" s="48" t="s">
        <v>14</v>
      </c>
      <c r="L256" s="48" t="s">
        <v>14</v>
      </c>
      <c r="M256" s="38">
        <v>42916</v>
      </c>
      <c r="N256" s="48" t="s">
        <v>18</v>
      </c>
      <c r="O256" s="35">
        <v>49000</v>
      </c>
      <c r="P256" s="35">
        <v>98000</v>
      </c>
      <c r="Q256" s="35">
        <v>98000</v>
      </c>
      <c r="R256" s="35"/>
      <c r="S256" s="58"/>
      <c r="T256" s="58"/>
    </row>
    <row r="257" spans="1:20" s="15" customFormat="1" ht="26.25" customHeight="1" x14ac:dyDescent="0.2">
      <c r="A257" s="43" t="s">
        <v>889</v>
      </c>
      <c r="B257" s="46" t="s">
        <v>22</v>
      </c>
      <c r="C257" s="44" t="s">
        <v>893</v>
      </c>
      <c r="D257" s="47">
        <v>14265</v>
      </c>
      <c r="E257" s="46" t="s">
        <v>896</v>
      </c>
      <c r="F257" s="35">
        <f>99850*3</f>
        <v>299550</v>
      </c>
      <c r="G257" s="35">
        <f>99850*3</f>
        <v>299550</v>
      </c>
      <c r="H257" s="35">
        <v>0</v>
      </c>
      <c r="I257" s="35">
        <f t="shared" si="6"/>
        <v>299550</v>
      </c>
      <c r="J257" s="36">
        <f t="shared" si="7"/>
        <v>0</v>
      </c>
      <c r="K257" s="48" t="s">
        <v>14</v>
      </c>
      <c r="L257" s="48" t="s">
        <v>14</v>
      </c>
      <c r="M257" s="38">
        <v>42916</v>
      </c>
      <c r="N257" s="48" t="s">
        <v>18</v>
      </c>
      <c r="O257" s="35">
        <v>99850</v>
      </c>
      <c r="P257" s="35">
        <v>99850</v>
      </c>
      <c r="Q257" s="35">
        <v>99850</v>
      </c>
      <c r="R257" s="35"/>
      <c r="S257" s="58"/>
      <c r="T257" s="58"/>
    </row>
    <row r="258" spans="1:20" s="15" customFormat="1" ht="26.25" customHeight="1" x14ac:dyDescent="0.2">
      <c r="A258" s="43" t="s">
        <v>1111</v>
      </c>
      <c r="B258" s="46" t="s">
        <v>22</v>
      </c>
      <c r="C258" s="44" t="s">
        <v>1112</v>
      </c>
      <c r="D258" s="47">
        <v>14694</v>
      </c>
      <c r="E258" s="46" t="s">
        <v>1114</v>
      </c>
      <c r="F258" s="35">
        <f>99000*3</f>
        <v>297000</v>
      </c>
      <c r="G258" s="35">
        <f>99000*3</f>
        <v>297000</v>
      </c>
      <c r="H258" s="35">
        <v>0</v>
      </c>
      <c r="I258" s="35">
        <f t="shared" ref="I258:I321" si="8">G258+H258</f>
        <v>297000</v>
      </c>
      <c r="J258" s="36">
        <f t="shared" ref="J258:J321" si="9">IF(G258=0,100%,(I258-G258)/G258)</f>
        <v>0</v>
      </c>
      <c r="K258" s="48" t="s">
        <v>14</v>
      </c>
      <c r="L258" s="48" t="s">
        <v>14</v>
      </c>
      <c r="M258" s="38">
        <v>43281</v>
      </c>
      <c r="N258" s="48" t="s">
        <v>18</v>
      </c>
      <c r="O258" s="35">
        <v>99000</v>
      </c>
      <c r="P258" s="35">
        <v>99000</v>
      </c>
      <c r="Q258" s="35">
        <v>99000</v>
      </c>
      <c r="R258" s="35"/>
      <c r="S258" s="58"/>
      <c r="T258" s="58"/>
    </row>
    <row r="259" spans="1:20" s="15" customFormat="1" ht="26.25" customHeight="1" x14ac:dyDescent="0.2">
      <c r="A259" s="43" t="s">
        <v>303</v>
      </c>
      <c r="B259" s="46" t="s">
        <v>22</v>
      </c>
      <c r="C259" s="44" t="s">
        <v>42</v>
      </c>
      <c r="D259" s="54" t="s">
        <v>322</v>
      </c>
      <c r="E259" s="46" t="s">
        <v>326</v>
      </c>
      <c r="F259" s="35">
        <f>6480*2</f>
        <v>12960</v>
      </c>
      <c r="G259" s="35">
        <v>10080</v>
      </c>
      <c r="H259" s="35">
        <f>6480*2</f>
        <v>12960</v>
      </c>
      <c r="I259" s="35">
        <f t="shared" si="8"/>
        <v>23040</v>
      </c>
      <c r="J259" s="36">
        <f t="shared" si="9"/>
        <v>1.2857142857142858</v>
      </c>
      <c r="K259" s="48" t="s">
        <v>14</v>
      </c>
      <c r="L259" s="48" t="s">
        <v>14</v>
      </c>
      <c r="M259" s="38">
        <v>42916</v>
      </c>
      <c r="N259" s="48" t="s">
        <v>28</v>
      </c>
      <c r="O259" s="35">
        <v>6480</v>
      </c>
      <c r="P259" s="35">
        <v>6480</v>
      </c>
      <c r="Q259" s="35"/>
      <c r="R259" s="35"/>
      <c r="S259" s="58"/>
      <c r="T259" s="58"/>
    </row>
    <row r="260" spans="1:20" s="15" customFormat="1" ht="26.25" customHeight="1" x14ac:dyDescent="0.2">
      <c r="A260" s="43" t="s">
        <v>235</v>
      </c>
      <c r="B260" s="46" t="s">
        <v>22</v>
      </c>
      <c r="C260" s="44" t="s">
        <v>256</v>
      </c>
      <c r="D260" s="47">
        <v>13045</v>
      </c>
      <c r="E260" s="46" t="s">
        <v>272</v>
      </c>
      <c r="F260" s="35">
        <f>49000*3</f>
        <v>147000</v>
      </c>
      <c r="G260" s="35">
        <f>49000*3</f>
        <v>147000</v>
      </c>
      <c r="H260" s="35">
        <v>0</v>
      </c>
      <c r="I260" s="35">
        <f t="shared" si="8"/>
        <v>147000</v>
      </c>
      <c r="J260" s="36">
        <f t="shared" si="9"/>
        <v>0</v>
      </c>
      <c r="K260" s="48" t="s">
        <v>14</v>
      </c>
      <c r="L260" s="48" t="s">
        <v>15</v>
      </c>
      <c r="M260" s="38">
        <v>42916</v>
      </c>
      <c r="N260" s="48" t="s">
        <v>18</v>
      </c>
      <c r="O260" s="35">
        <v>49000</v>
      </c>
      <c r="P260" s="35">
        <v>49000</v>
      </c>
      <c r="Q260" s="35">
        <v>49000</v>
      </c>
      <c r="R260" s="35"/>
      <c r="S260" s="58"/>
      <c r="T260" s="58"/>
    </row>
    <row r="261" spans="1:20" s="15" customFormat="1" ht="26.25" customHeight="1" x14ac:dyDescent="0.2">
      <c r="A261" s="43" t="s">
        <v>352</v>
      </c>
      <c r="B261" s="46" t="s">
        <v>22</v>
      </c>
      <c r="C261" s="44" t="s">
        <v>356</v>
      </c>
      <c r="D261" s="47">
        <v>13345</v>
      </c>
      <c r="E261" s="46" t="s">
        <v>361</v>
      </c>
      <c r="F261" s="35">
        <f>95000*3</f>
        <v>285000</v>
      </c>
      <c r="G261" s="35">
        <f>95000*3</f>
        <v>285000</v>
      </c>
      <c r="H261" s="35">
        <v>0</v>
      </c>
      <c r="I261" s="35">
        <f t="shared" si="8"/>
        <v>285000</v>
      </c>
      <c r="J261" s="36">
        <f t="shared" si="9"/>
        <v>0</v>
      </c>
      <c r="K261" s="48" t="s">
        <v>14</v>
      </c>
      <c r="L261" s="48" t="s">
        <v>14</v>
      </c>
      <c r="M261" s="38">
        <v>42978</v>
      </c>
      <c r="N261" s="48" t="s">
        <v>18</v>
      </c>
      <c r="O261" s="35">
        <v>95000</v>
      </c>
      <c r="P261" s="35">
        <v>95000</v>
      </c>
      <c r="Q261" s="35">
        <v>95000</v>
      </c>
      <c r="R261" s="35"/>
      <c r="S261" s="58"/>
      <c r="T261" s="58"/>
    </row>
    <row r="262" spans="1:20" s="15" customFormat="1" ht="26.25" customHeight="1" x14ac:dyDescent="0.2">
      <c r="A262" s="43" t="s">
        <v>364</v>
      </c>
      <c r="B262" s="46" t="s">
        <v>22</v>
      </c>
      <c r="C262" s="44" t="s">
        <v>373</v>
      </c>
      <c r="D262" s="47">
        <v>13124</v>
      </c>
      <c r="E262" s="46" t="s">
        <v>379</v>
      </c>
      <c r="F262" s="35">
        <v>45000</v>
      </c>
      <c r="G262" s="40">
        <v>45000</v>
      </c>
      <c r="H262" s="35">
        <v>0</v>
      </c>
      <c r="I262" s="35">
        <f t="shared" si="8"/>
        <v>45000</v>
      </c>
      <c r="J262" s="36">
        <f t="shared" si="9"/>
        <v>0</v>
      </c>
      <c r="K262" s="48" t="s">
        <v>14</v>
      </c>
      <c r="L262" s="48" t="s">
        <v>14</v>
      </c>
      <c r="M262" s="38">
        <v>42916</v>
      </c>
      <c r="N262" s="48"/>
      <c r="O262" s="35">
        <v>45000</v>
      </c>
      <c r="P262" s="35"/>
      <c r="Q262" s="35"/>
      <c r="R262" s="35"/>
      <c r="S262" s="58"/>
      <c r="T262" s="58"/>
    </row>
    <row r="263" spans="1:20" s="15" customFormat="1" ht="26.25" customHeight="1" x14ac:dyDescent="0.2">
      <c r="A263" s="43" t="s">
        <v>160</v>
      </c>
      <c r="B263" s="46" t="s">
        <v>165</v>
      </c>
      <c r="C263" s="44" t="s">
        <v>169</v>
      </c>
      <c r="D263" s="47">
        <v>13028</v>
      </c>
      <c r="E263" s="46" t="s">
        <v>178</v>
      </c>
      <c r="F263" s="35">
        <v>33200</v>
      </c>
      <c r="G263" s="40">
        <v>33200</v>
      </c>
      <c r="H263" s="35">
        <v>0</v>
      </c>
      <c r="I263" s="35">
        <f t="shared" si="8"/>
        <v>33200</v>
      </c>
      <c r="J263" s="36">
        <f t="shared" si="9"/>
        <v>0</v>
      </c>
      <c r="K263" s="48" t="s">
        <v>14</v>
      </c>
      <c r="L263" s="48" t="s">
        <v>14</v>
      </c>
      <c r="M263" s="38">
        <v>42916</v>
      </c>
      <c r="N263" s="48"/>
      <c r="O263" s="41">
        <v>33200</v>
      </c>
      <c r="P263" s="41"/>
      <c r="Q263" s="41"/>
      <c r="R263" s="41"/>
      <c r="S263" s="58"/>
      <c r="T263" s="58"/>
    </row>
    <row r="264" spans="1:20" s="15" customFormat="1" ht="26.25" customHeight="1" x14ac:dyDescent="0.2">
      <c r="A264" s="43" t="s">
        <v>591</v>
      </c>
      <c r="B264" s="46" t="s">
        <v>597</v>
      </c>
      <c r="C264" s="44" t="s">
        <v>599</v>
      </c>
      <c r="D264" s="47">
        <v>13768</v>
      </c>
      <c r="E264" s="46" t="s">
        <v>605</v>
      </c>
      <c r="F264" s="35">
        <f>27650*2</f>
        <v>55300</v>
      </c>
      <c r="G264" s="35">
        <f>27650*2</f>
        <v>55300</v>
      </c>
      <c r="H264" s="35">
        <v>0</v>
      </c>
      <c r="I264" s="35">
        <f t="shared" si="8"/>
        <v>55300</v>
      </c>
      <c r="J264" s="36">
        <f t="shared" si="9"/>
        <v>0</v>
      </c>
      <c r="K264" s="48" t="s">
        <v>14</v>
      </c>
      <c r="L264" s="48" t="s">
        <v>14</v>
      </c>
      <c r="M264" s="38">
        <v>42795</v>
      </c>
      <c r="N264" s="48" t="s">
        <v>18</v>
      </c>
      <c r="O264" s="35">
        <v>27650</v>
      </c>
      <c r="P264" s="35">
        <v>27650</v>
      </c>
      <c r="Q264" s="35"/>
      <c r="R264" s="35"/>
      <c r="S264" s="58"/>
      <c r="T264" s="58"/>
    </row>
    <row r="265" spans="1:20" s="15" customFormat="1" ht="26.25" customHeight="1" x14ac:dyDescent="0.2">
      <c r="A265" s="43" t="s">
        <v>859</v>
      </c>
      <c r="B265" s="46" t="s">
        <v>597</v>
      </c>
      <c r="C265" s="44" t="s">
        <v>599</v>
      </c>
      <c r="D265" s="54" t="s">
        <v>864</v>
      </c>
      <c r="E265" s="46" t="s">
        <v>865</v>
      </c>
      <c r="F265" s="35">
        <v>15000</v>
      </c>
      <c r="G265" s="35">
        <v>27625</v>
      </c>
      <c r="H265" s="35">
        <v>15000</v>
      </c>
      <c r="I265" s="35">
        <f t="shared" si="8"/>
        <v>42625</v>
      </c>
      <c r="J265" s="36">
        <f t="shared" si="9"/>
        <v>0.54298642533936647</v>
      </c>
      <c r="K265" s="48" t="s">
        <v>14</v>
      </c>
      <c r="L265" s="48" t="s">
        <v>14</v>
      </c>
      <c r="M265" s="38">
        <v>42887</v>
      </c>
      <c r="N265" s="48" t="s">
        <v>28</v>
      </c>
      <c r="O265" s="35">
        <v>15000</v>
      </c>
      <c r="P265" s="35"/>
      <c r="Q265" s="35"/>
      <c r="R265" s="35"/>
      <c r="S265" s="58"/>
      <c r="T265" s="58"/>
    </row>
    <row r="266" spans="1:20" s="15" customFormat="1" ht="26.25" customHeight="1" x14ac:dyDescent="0.2">
      <c r="A266" s="43" t="s">
        <v>197</v>
      </c>
      <c r="B266" s="46" t="s">
        <v>69</v>
      </c>
      <c r="C266" s="44" t="s">
        <v>80</v>
      </c>
      <c r="D266" s="34">
        <v>13076</v>
      </c>
      <c r="E266" s="46" t="s">
        <v>227</v>
      </c>
      <c r="F266" s="35">
        <f>93000*3</f>
        <v>279000</v>
      </c>
      <c r="G266" s="35">
        <f>93000*3</f>
        <v>279000</v>
      </c>
      <c r="H266" s="35">
        <v>0</v>
      </c>
      <c r="I266" s="35">
        <f t="shared" si="8"/>
        <v>279000</v>
      </c>
      <c r="J266" s="36">
        <f t="shared" si="9"/>
        <v>0</v>
      </c>
      <c r="K266" s="48" t="s">
        <v>14</v>
      </c>
      <c r="L266" s="48" t="s">
        <v>14</v>
      </c>
      <c r="M266" s="38">
        <v>42978</v>
      </c>
      <c r="N266" s="48" t="s">
        <v>18</v>
      </c>
      <c r="O266" s="35">
        <v>93000</v>
      </c>
      <c r="P266" s="35">
        <v>93000</v>
      </c>
      <c r="Q266" s="35">
        <v>93000</v>
      </c>
      <c r="R266" s="35"/>
      <c r="S266" s="58"/>
      <c r="T266" s="58"/>
    </row>
    <row r="267" spans="1:20" s="15" customFormat="1" ht="26.25" customHeight="1" x14ac:dyDescent="0.2">
      <c r="A267" s="43" t="s">
        <v>388</v>
      </c>
      <c r="B267" s="46" t="s">
        <v>69</v>
      </c>
      <c r="C267" s="44" t="s">
        <v>58</v>
      </c>
      <c r="D267" s="47">
        <v>13407</v>
      </c>
      <c r="E267" s="46" t="s">
        <v>391</v>
      </c>
      <c r="F267" s="35">
        <f>52530*3</f>
        <v>157590</v>
      </c>
      <c r="G267" s="35">
        <f>52530*3</f>
        <v>157590</v>
      </c>
      <c r="H267" s="35">
        <v>0</v>
      </c>
      <c r="I267" s="35">
        <f t="shared" si="8"/>
        <v>157590</v>
      </c>
      <c r="J267" s="36">
        <f t="shared" si="9"/>
        <v>0</v>
      </c>
      <c r="K267" s="48" t="s">
        <v>14</v>
      </c>
      <c r="L267" s="48" t="s">
        <v>14</v>
      </c>
      <c r="M267" s="38">
        <v>43002</v>
      </c>
      <c r="N267" s="48" t="s">
        <v>18</v>
      </c>
      <c r="O267" s="35">
        <v>52530</v>
      </c>
      <c r="P267" s="35">
        <v>52530</v>
      </c>
      <c r="Q267" s="35">
        <v>52530</v>
      </c>
      <c r="R267" s="35"/>
      <c r="S267" s="58"/>
      <c r="T267" s="58"/>
    </row>
    <row r="268" spans="1:20" s="15" customFormat="1" ht="26.25" customHeight="1" x14ac:dyDescent="0.2">
      <c r="A268" s="43" t="s">
        <v>711</v>
      </c>
      <c r="B268" s="46" t="s">
        <v>69</v>
      </c>
      <c r="C268" s="44" t="s">
        <v>718</v>
      </c>
      <c r="D268" s="47">
        <v>13921</v>
      </c>
      <c r="E268" s="46" t="s">
        <v>728</v>
      </c>
      <c r="F268" s="35">
        <f>30999*3</f>
        <v>92997</v>
      </c>
      <c r="G268" s="35">
        <f>30999*3</f>
        <v>92997</v>
      </c>
      <c r="H268" s="35">
        <v>0</v>
      </c>
      <c r="I268" s="35">
        <f t="shared" si="8"/>
        <v>92997</v>
      </c>
      <c r="J268" s="36">
        <f t="shared" si="9"/>
        <v>0</v>
      </c>
      <c r="K268" s="48" t="s">
        <v>14</v>
      </c>
      <c r="L268" s="48" t="s">
        <v>14</v>
      </c>
      <c r="M268" s="38">
        <v>42910</v>
      </c>
      <c r="N268" s="48" t="s">
        <v>18</v>
      </c>
      <c r="O268" s="35">
        <v>30999</v>
      </c>
      <c r="P268" s="35">
        <v>30999</v>
      </c>
      <c r="Q268" s="35">
        <v>30999</v>
      </c>
      <c r="R268" s="35"/>
      <c r="S268" s="58"/>
      <c r="T268" s="58"/>
    </row>
    <row r="269" spans="1:20" s="15" customFormat="1" ht="26.25" customHeight="1" x14ac:dyDescent="0.2">
      <c r="A269" s="43" t="s">
        <v>937</v>
      </c>
      <c r="B269" s="46" t="s">
        <v>69</v>
      </c>
      <c r="C269" s="44" t="s">
        <v>954</v>
      </c>
      <c r="D269" s="47">
        <v>14296</v>
      </c>
      <c r="E269" s="46" t="s">
        <v>1185</v>
      </c>
      <c r="F269" s="35">
        <f>75000*3</f>
        <v>225000</v>
      </c>
      <c r="G269" s="35">
        <f>75000*3</f>
        <v>225000</v>
      </c>
      <c r="H269" s="35">
        <v>0</v>
      </c>
      <c r="I269" s="35">
        <f t="shared" si="8"/>
        <v>225000</v>
      </c>
      <c r="J269" s="36">
        <f t="shared" si="9"/>
        <v>0</v>
      </c>
      <c r="K269" s="48" t="s">
        <v>14</v>
      </c>
      <c r="L269" s="48" t="s">
        <v>14</v>
      </c>
      <c r="M269" s="38">
        <v>43207</v>
      </c>
      <c r="N269" s="48" t="s">
        <v>18</v>
      </c>
      <c r="O269" s="35">
        <v>75000</v>
      </c>
      <c r="P269" s="35">
        <v>75000</v>
      </c>
      <c r="Q269" s="35">
        <v>75000</v>
      </c>
      <c r="R269" s="35"/>
      <c r="S269" s="58"/>
      <c r="T269" s="58"/>
    </row>
    <row r="270" spans="1:20" s="15" customFormat="1" ht="26.25" customHeight="1" x14ac:dyDescent="0.2">
      <c r="A270" s="43" t="s">
        <v>245</v>
      </c>
      <c r="B270" s="46" t="s">
        <v>69</v>
      </c>
      <c r="C270" s="44" t="s">
        <v>264</v>
      </c>
      <c r="D270" s="47">
        <v>13196</v>
      </c>
      <c r="E270" s="46" t="s">
        <v>280</v>
      </c>
      <c r="F270" s="35">
        <v>25000</v>
      </c>
      <c r="G270" s="35">
        <v>25000</v>
      </c>
      <c r="H270" s="35">
        <v>0</v>
      </c>
      <c r="I270" s="35">
        <f t="shared" si="8"/>
        <v>25000</v>
      </c>
      <c r="J270" s="36">
        <f t="shared" si="9"/>
        <v>0</v>
      </c>
      <c r="K270" s="48" t="s">
        <v>14</v>
      </c>
      <c r="L270" s="48" t="s">
        <v>14</v>
      </c>
      <c r="M270" s="38">
        <v>42978</v>
      </c>
      <c r="N270" s="48"/>
      <c r="O270" s="35">
        <v>25000</v>
      </c>
      <c r="P270" s="35"/>
      <c r="Q270" s="35"/>
      <c r="R270" s="35"/>
      <c r="S270" s="58"/>
      <c r="T270" s="58"/>
    </row>
    <row r="271" spans="1:20" s="15" customFormat="1" ht="26.25" customHeight="1" x14ac:dyDescent="0.2">
      <c r="A271" s="43" t="s">
        <v>1117</v>
      </c>
      <c r="B271" s="46" t="s">
        <v>69</v>
      </c>
      <c r="C271" s="44" t="s">
        <v>1122</v>
      </c>
      <c r="D271" s="47">
        <v>14670</v>
      </c>
      <c r="E271" s="46" t="s">
        <v>1127</v>
      </c>
      <c r="F271" s="35">
        <f>48000*3</f>
        <v>144000</v>
      </c>
      <c r="G271" s="35">
        <f>48000*3</f>
        <v>144000</v>
      </c>
      <c r="H271" s="35">
        <v>0</v>
      </c>
      <c r="I271" s="35">
        <f t="shared" si="8"/>
        <v>144000</v>
      </c>
      <c r="J271" s="36">
        <f t="shared" si="9"/>
        <v>0</v>
      </c>
      <c r="K271" s="48" t="s">
        <v>14</v>
      </c>
      <c r="L271" s="48" t="s">
        <v>14</v>
      </c>
      <c r="M271" s="38">
        <v>43220</v>
      </c>
      <c r="N271" s="48" t="s">
        <v>18</v>
      </c>
      <c r="O271" s="35">
        <v>48000</v>
      </c>
      <c r="P271" s="35">
        <v>48000</v>
      </c>
      <c r="Q271" s="35">
        <v>48000</v>
      </c>
      <c r="R271" s="35"/>
      <c r="S271" s="58"/>
      <c r="T271" s="58"/>
    </row>
    <row r="272" spans="1:20" s="15" customFormat="1" ht="26.25" customHeight="1" x14ac:dyDescent="0.2">
      <c r="A272" s="43" t="s">
        <v>190</v>
      </c>
      <c r="B272" s="46" t="s">
        <v>69</v>
      </c>
      <c r="C272" s="44" t="s">
        <v>203</v>
      </c>
      <c r="D272" s="34">
        <v>13002</v>
      </c>
      <c r="E272" s="46" t="s">
        <v>221</v>
      </c>
      <c r="F272" s="35">
        <v>99000</v>
      </c>
      <c r="G272" s="35">
        <v>99000</v>
      </c>
      <c r="H272" s="35">
        <v>0</v>
      </c>
      <c r="I272" s="35">
        <f t="shared" si="8"/>
        <v>99000</v>
      </c>
      <c r="J272" s="36">
        <f t="shared" si="9"/>
        <v>0</v>
      </c>
      <c r="K272" s="48" t="s">
        <v>14</v>
      </c>
      <c r="L272" s="48" t="s">
        <v>15</v>
      </c>
      <c r="M272" s="38">
        <v>42794</v>
      </c>
      <c r="N272" s="48"/>
      <c r="O272" s="56">
        <v>99000</v>
      </c>
      <c r="P272" s="41"/>
      <c r="Q272" s="41"/>
      <c r="R272" s="41"/>
      <c r="S272" s="58"/>
      <c r="T272" s="58"/>
    </row>
    <row r="273" spans="1:20" s="15" customFormat="1" ht="26.25" customHeight="1" x14ac:dyDescent="0.2">
      <c r="A273" s="43" t="s">
        <v>624</v>
      </c>
      <c r="B273" s="46" t="s">
        <v>69</v>
      </c>
      <c r="C273" s="44" t="s">
        <v>639</v>
      </c>
      <c r="D273" s="47">
        <v>13766</v>
      </c>
      <c r="E273" s="46" t="s">
        <v>649</v>
      </c>
      <c r="F273" s="35">
        <f>42320+47800+47800</f>
        <v>137920</v>
      </c>
      <c r="G273" s="35">
        <f>42320+47800+47800</f>
        <v>137920</v>
      </c>
      <c r="H273" s="35">
        <v>0</v>
      </c>
      <c r="I273" s="35">
        <f t="shared" si="8"/>
        <v>137920</v>
      </c>
      <c r="J273" s="36">
        <f t="shared" si="9"/>
        <v>0</v>
      </c>
      <c r="K273" s="48" t="s">
        <v>14</v>
      </c>
      <c r="L273" s="48" t="s">
        <v>14</v>
      </c>
      <c r="M273" s="38">
        <v>43085</v>
      </c>
      <c r="N273" s="48" t="s">
        <v>18</v>
      </c>
      <c r="O273" s="35">
        <v>42320</v>
      </c>
      <c r="P273" s="35">
        <v>47800</v>
      </c>
      <c r="Q273" s="35">
        <v>47800</v>
      </c>
      <c r="R273" s="35"/>
      <c r="S273" s="58"/>
      <c r="T273" s="58"/>
    </row>
    <row r="274" spans="1:20" s="15" customFormat="1" ht="26.25" customHeight="1" x14ac:dyDescent="0.2">
      <c r="A274" s="43" t="s">
        <v>158</v>
      </c>
      <c r="B274" s="46" t="s">
        <v>69</v>
      </c>
      <c r="C274" s="44" t="s">
        <v>33</v>
      </c>
      <c r="D274" s="47">
        <v>13017</v>
      </c>
      <c r="E274" s="46" t="s">
        <v>176</v>
      </c>
      <c r="F274" s="49">
        <f>21376*3</f>
        <v>64128</v>
      </c>
      <c r="G274" s="49">
        <f>21376*3</f>
        <v>64128</v>
      </c>
      <c r="H274" s="35">
        <v>0</v>
      </c>
      <c r="I274" s="49">
        <f t="shared" si="8"/>
        <v>64128</v>
      </c>
      <c r="J274" s="51">
        <f t="shared" si="9"/>
        <v>0</v>
      </c>
      <c r="K274" s="48" t="s">
        <v>14</v>
      </c>
      <c r="L274" s="48" t="s">
        <v>14</v>
      </c>
      <c r="M274" s="38">
        <v>42868</v>
      </c>
      <c r="N274" s="48" t="s">
        <v>18</v>
      </c>
      <c r="O274" s="41">
        <v>21376</v>
      </c>
      <c r="P274" s="41">
        <v>21376</v>
      </c>
      <c r="Q274" s="41">
        <v>21376</v>
      </c>
      <c r="R274" s="41"/>
      <c r="S274" s="58"/>
      <c r="T274" s="58"/>
    </row>
    <row r="275" spans="1:20" s="15" customFormat="1" ht="26.25" customHeight="1" x14ac:dyDescent="0.2">
      <c r="A275" s="43" t="s">
        <v>575</v>
      </c>
      <c r="B275" s="46" t="s">
        <v>69</v>
      </c>
      <c r="C275" s="44" t="s">
        <v>579</v>
      </c>
      <c r="D275" s="47">
        <v>13701</v>
      </c>
      <c r="E275" s="46" t="s">
        <v>582</v>
      </c>
      <c r="F275" s="35">
        <f>99000*3</f>
        <v>297000</v>
      </c>
      <c r="G275" s="35">
        <f>99000*3</f>
        <v>297000</v>
      </c>
      <c r="H275" s="35">
        <v>0</v>
      </c>
      <c r="I275" s="35">
        <f t="shared" si="8"/>
        <v>297000</v>
      </c>
      <c r="J275" s="36">
        <f t="shared" si="9"/>
        <v>0</v>
      </c>
      <c r="K275" s="48" t="s">
        <v>14</v>
      </c>
      <c r="L275" s="48" t="s">
        <v>14</v>
      </c>
      <c r="M275" s="38">
        <v>43070</v>
      </c>
      <c r="N275" s="48" t="s">
        <v>18</v>
      </c>
      <c r="O275" s="35">
        <v>99000</v>
      </c>
      <c r="P275" s="35">
        <v>99000</v>
      </c>
      <c r="Q275" s="35">
        <v>99000</v>
      </c>
      <c r="R275" s="35"/>
      <c r="S275" s="58"/>
      <c r="T275" s="58"/>
    </row>
    <row r="276" spans="1:20" s="15" customFormat="1" ht="26.25" customHeight="1" x14ac:dyDescent="0.2">
      <c r="A276" s="43" t="s">
        <v>756</v>
      </c>
      <c r="B276" s="46" t="s">
        <v>69</v>
      </c>
      <c r="C276" s="44" t="s">
        <v>770</v>
      </c>
      <c r="D276" s="54" t="s">
        <v>777</v>
      </c>
      <c r="E276" s="46" t="s">
        <v>781</v>
      </c>
      <c r="F276" s="35">
        <f>702+5400+5400</f>
        <v>11502</v>
      </c>
      <c r="G276" s="35">
        <v>4698</v>
      </c>
      <c r="H276" s="35">
        <f>702+5400+5400</f>
        <v>11502</v>
      </c>
      <c r="I276" s="35">
        <f t="shared" si="8"/>
        <v>16200</v>
      </c>
      <c r="J276" s="36">
        <f t="shared" si="9"/>
        <v>2.4482758620689653</v>
      </c>
      <c r="K276" s="48" t="s">
        <v>14</v>
      </c>
      <c r="L276" s="48" t="s">
        <v>14</v>
      </c>
      <c r="M276" s="38">
        <v>43100</v>
      </c>
      <c r="N276" s="48" t="s">
        <v>28</v>
      </c>
      <c r="O276" s="35">
        <v>702</v>
      </c>
      <c r="P276" s="35">
        <v>5400</v>
      </c>
      <c r="Q276" s="35">
        <v>5400</v>
      </c>
      <c r="R276" s="35"/>
      <c r="S276" s="58"/>
      <c r="T276" s="58"/>
    </row>
    <row r="277" spans="1:20" s="15" customFormat="1" ht="26.25" customHeight="1" x14ac:dyDescent="0.2">
      <c r="A277" s="43" t="s">
        <v>1017</v>
      </c>
      <c r="B277" s="46" t="s">
        <v>69</v>
      </c>
      <c r="C277" s="44" t="s">
        <v>1030</v>
      </c>
      <c r="D277" s="47">
        <v>14545</v>
      </c>
      <c r="E277" s="46" t="s">
        <v>1043</v>
      </c>
      <c r="F277" s="35">
        <v>24125</v>
      </c>
      <c r="G277" s="35">
        <v>24125</v>
      </c>
      <c r="H277" s="35">
        <v>0</v>
      </c>
      <c r="I277" s="35">
        <f t="shared" si="8"/>
        <v>24125</v>
      </c>
      <c r="J277" s="36">
        <f t="shared" si="9"/>
        <v>0</v>
      </c>
      <c r="K277" s="48" t="s">
        <v>14</v>
      </c>
      <c r="L277" s="48" t="s">
        <v>15</v>
      </c>
      <c r="M277" s="38">
        <v>43190</v>
      </c>
      <c r="N277" s="48"/>
      <c r="O277" s="35">
        <v>24125</v>
      </c>
      <c r="P277" s="35"/>
      <c r="Q277" s="35"/>
      <c r="R277" s="35"/>
      <c r="S277" s="58"/>
      <c r="T277" s="58"/>
    </row>
    <row r="278" spans="1:20" s="15" customFormat="1" ht="26.25" customHeight="1" x14ac:dyDescent="0.2">
      <c r="A278" s="43" t="s">
        <v>387</v>
      </c>
      <c r="B278" s="46" t="s">
        <v>69</v>
      </c>
      <c r="C278" s="44" t="s">
        <v>389</v>
      </c>
      <c r="D278" s="47">
        <v>13393</v>
      </c>
      <c r="E278" s="46" t="s">
        <v>390</v>
      </c>
      <c r="F278" s="35">
        <f>87000*3</f>
        <v>261000</v>
      </c>
      <c r="G278" s="35">
        <f>87000*3</f>
        <v>261000</v>
      </c>
      <c r="H278" s="35">
        <v>0</v>
      </c>
      <c r="I278" s="35">
        <f t="shared" si="8"/>
        <v>261000</v>
      </c>
      <c r="J278" s="36">
        <f t="shared" si="9"/>
        <v>0</v>
      </c>
      <c r="K278" s="48" t="s">
        <v>14</v>
      </c>
      <c r="L278" s="48" t="s">
        <v>14</v>
      </c>
      <c r="M278" s="38">
        <v>43008</v>
      </c>
      <c r="N278" s="48" t="s">
        <v>18</v>
      </c>
      <c r="O278" s="35">
        <v>87000</v>
      </c>
      <c r="P278" s="35">
        <v>87000</v>
      </c>
      <c r="Q278" s="35">
        <v>87000</v>
      </c>
      <c r="R278" s="35"/>
      <c r="S278" s="58"/>
      <c r="T278" s="58"/>
    </row>
    <row r="279" spans="1:20" s="15" customFormat="1" ht="26.25" customHeight="1" x14ac:dyDescent="0.2">
      <c r="A279" s="43" t="s">
        <v>161</v>
      </c>
      <c r="B279" s="46" t="s">
        <v>69</v>
      </c>
      <c r="C279" s="44" t="s">
        <v>170</v>
      </c>
      <c r="D279" s="47">
        <v>13035</v>
      </c>
      <c r="E279" s="46" t="s">
        <v>179</v>
      </c>
      <c r="F279" s="35">
        <f>19184*3</f>
        <v>57552</v>
      </c>
      <c r="G279" s="35">
        <f>19184*3</f>
        <v>57552</v>
      </c>
      <c r="H279" s="35">
        <v>0</v>
      </c>
      <c r="I279" s="35">
        <f t="shared" si="8"/>
        <v>57552</v>
      </c>
      <c r="J279" s="36">
        <f t="shared" si="9"/>
        <v>0</v>
      </c>
      <c r="K279" s="48" t="s">
        <v>14</v>
      </c>
      <c r="L279" s="48" t="s">
        <v>14</v>
      </c>
      <c r="M279" s="38">
        <v>42886</v>
      </c>
      <c r="N279" s="48" t="s">
        <v>18</v>
      </c>
      <c r="O279" s="35">
        <v>19184</v>
      </c>
      <c r="P279" s="35">
        <v>19184</v>
      </c>
      <c r="Q279" s="35">
        <v>19184</v>
      </c>
      <c r="R279" s="35"/>
      <c r="S279" s="58"/>
      <c r="T279" s="58"/>
    </row>
    <row r="280" spans="1:20" s="15" customFormat="1" ht="26.25" customHeight="1" x14ac:dyDescent="0.2">
      <c r="A280" s="43" t="s">
        <v>1019</v>
      </c>
      <c r="B280" s="46" t="s">
        <v>69</v>
      </c>
      <c r="C280" s="44" t="s">
        <v>1032</v>
      </c>
      <c r="D280" s="47">
        <v>14550</v>
      </c>
      <c r="E280" s="46" t="s">
        <v>1045</v>
      </c>
      <c r="F280" s="35">
        <f>29173+31000+33000</f>
        <v>93173</v>
      </c>
      <c r="G280" s="35">
        <f>29173+31000+33000</f>
        <v>93173</v>
      </c>
      <c r="H280" s="35">
        <v>0</v>
      </c>
      <c r="I280" s="35">
        <f t="shared" si="8"/>
        <v>93173</v>
      </c>
      <c r="J280" s="36">
        <f t="shared" si="9"/>
        <v>0</v>
      </c>
      <c r="K280" s="48" t="s">
        <v>14</v>
      </c>
      <c r="L280" s="48" t="s">
        <v>14</v>
      </c>
      <c r="M280" s="38">
        <v>43190</v>
      </c>
      <c r="N280" s="48" t="s">
        <v>18</v>
      </c>
      <c r="O280" s="35">
        <v>29173</v>
      </c>
      <c r="P280" s="35">
        <v>31000</v>
      </c>
      <c r="Q280" s="35">
        <v>33000</v>
      </c>
      <c r="R280" s="35"/>
      <c r="S280" s="58"/>
      <c r="T280" s="58"/>
    </row>
    <row r="281" spans="1:20" s="15" customFormat="1" ht="26.25" customHeight="1" x14ac:dyDescent="0.2">
      <c r="A281" s="43" t="s">
        <v>437</v>
      </c>
      <c r="B281" s="46" t="s">
        <v>69</v>
      </c>
      <c r="C281" s="44" t="s">
        <v>439</v>
      </c>
      <c r="D281" s="47">
        <v>13502</v>
      </c>
      <c r="E281" s="46" t="s">
        <v>441</v>
      </c>
      <c r="F281" s="35">
        <v>99000</v>
      </c>
      <c r="G281" s="35">
        <v>99000</v>
      </c>
      <c r="H281" s="35">
        <v>0</v>
      </c>
      <c r="I281" s="35">
        <f t="shared" si="8"/>
        <v>99000</v>
      </c>
      <c r="J281" s="36">
        <f t="shared" si="9"/>
        <v>0</v>
      </c>
      <c r="K281" s="48" t="s">
        <v>14</v>
      </c>
      <c r="L281" s="48" t="s">
        <v>14</v>
      </c>
      <c r="M281" s="38">
        <v>43023</v>
      </c>
      <c r="N281" s="48"/>
      <c r="O281" s="35">
        <v>99000</v>
      </c>
      <c r="P281" s="35"/>
      <c r="Q281" s="35"/>
      <c r="R281" s="35"/>
      <c r="S281" s="58"/>
      <c r="T281" s="58"/>
    </row>
    <row r="282" spans="1:20" s="15" customFormat="1" ht="26.25" customHeight="1" x14ac:dyDescent="0.2">
      <c r="A282" s="43" t="s">
        <v>976</v>
      </c>
      <c r="B282" s="46" t="s">
        <v>69</v>
      </c>
      <c r="C282" s="44" t="s">
        <v>986</v>
      </c>
      <c r="D282" s="47">
        <v>14450</v>
      </c>
      <c r="E282" s="46" t="s">
        <v>997</v>
      </c>
      <c r="F282" s="35">
        <f>48000+48000</f>
        <v>96000</v>
      </c>
      <c r="G282" s="35">
        <f>48000+48000</f>
        <v>96000</v>
      </c>
      <c r="H282" s="35">
        <v>0</v>
      </c>
      <c r="I282" s="35">
        <f t="shared" si="8"/>
        <v>96000</v>
      </c>
      <c r="J282" s="36">
        <f t="shared" si="9"/>
        <v>0</v>
      </c>
      <c r="K282" s="48" t="s">
        <v>14</v>
      </c>
      <c r="L282" s="48" t="s">
        <v>15</v>
      </c>
      <c r="M282" s="38">
        <v>43191</v>
      </c>
      <c r="N282" s="48" t="s">
        <v>18</v>
      </c>
      <c r="O282" s="35">
        <v>48000</v>
      </c>
      <c r="P282" s="35">
        <v>48000</v>
      </c>
      <c r="Q282" s="35"/>
      <c r="R282" s="35"/>
      <c r="S282" s="58"/>
      <c r="T282" s="58"/>
    </row>
    <row r="283" spans="1:20" s="15" customFormat="1" ht="26.25" customHeight="1" x14ac:dyDescent="0.2">
      <c r="A283" s="43" t="s">
        <v>310</v>
      </c>
      <c r="B283" s="46" t="s">
        <v>69</v>
      </c>
      <c r="C283" s="44" t="s">
        <v>318</v>
      </c>
      <c r="D283" s="54">
        <v>13295</v>
      </c>
      <c r="E283" s="46" t="s">
        <v>331</v>
      </c>
      <c r="F283" s="35">
        <v>23572</v>
      </c>
      <c r="G283" s="40">
        <v>23572</v>
      </c>
      <c r="H283" s="35">
        <v>0</v>
      </c>
      <c r="I283" s="35">
        <f t="shared" si="8"/>
        <v>23572</v>
      </c>
      <c r="J283" s="36">
        <f t="shared" si="9"/>
        <v>0</v>
      </c>
      <c r="K283" s="48" t="s">
        <v>14</v>
      </c>
      <c r="L283" s="48" t="s">
        <v>14</v>
      </c>
      <c r="M283" s="52">
        <v>42992</v>
      </c>
      <c r="N283" s="48"/>
      <c r="O283" s="35">
        <v>23572</v>
      </c>
      <c r="P283" s="35"/>
      <c r="Q283" s="35"/>
      <c r="R283" s="35"/>
      <c r="S283" s="58"/>
      <c r="T283" s="58"/>
    </row>
    <row r="284" spans="1:20" s="15" customFormat="1" ht="26.25" customHeight="1" x14ac:dyDescent="0.2">
      <c r="A284" s="43" t="s">
        <v>1022</v>
      </c>
      <c r="B284" s="46" t="s">
        <v>69</v>
      </c>
      <c r="C284" s="44" t="s">
        <v>452</v>
      </c>
      <c r="D284" s="47">
        <v>14572</v>
      </c>
      <c r="E284" s="46" t="s">
        <v>1048</v>
      </c>
      <c r="F284" s="35">
        <v>43000</v>
      </c>
      <c r="G284" s="35">
        <v>43000</v>
      </c>
      <c r="H284" s="35">
        <v>0</v>
      </c>
      <c r="I284" s="35">
        <f t="shared" si="8"/>
        <v>43000</v>
      </c>
      <c r="J284" s="36">
        <f t="shared" si="9"/>
        <v>0</v>
      </c>
      <c r="K284" s="48" t="s">
        <v>14</v>
      </c>
      <c r="L284" s="48" t="s">
        <v>14</v>
      </c>
      <c r="M284" s="52">
        <v>43220</v>
      </c>
      <c r="N284" s="48"/>
      <c r="O284" s="35">
        <v>43000</v>
      </c>
      <c r="P284" s="35"/>
      <c r="Q284" s="35"/>
      <c r="R284" s="35"/>
      <c r="S284" s="58"/>
      <c r="T284" s="58"/>
    </row>
    <row r="285" spans="1:20" s="15" customFormat="1" ht="26.25" customHeight="1" x14ac:dyDescent="0.2">
      <c r="A285" s="43" t="s">
        <v>1054</v>
      </c>
      <c r="B285" s="46" t="s">
        <v>69</v>
      </c>
      <c r="C285" s="44" t="s">
        <v>1058</v>
      </c>
      <c r="D285" s="47">
        <v>14558</v>
      </c>
      <c r="E285" s="46" t="s">
        <v>1064</v>
      </c>
      <c r="F285" s="35">
        <f>99000*3</f>
        <v>297000</v>
      </c>
      <c r="G285" s="35">
        <f>99000*3</f>
        <v>297000</v>
      </c>
      <c r="H285" s="35">
        <v>0</v>
      </c>
      <c r="I285" s="35">
        <f t="shared" si="8"/>
        <v>297000</v>
      </c>
      <c r="J285" s="36">
        <f t="shared" si="9"/>
        <v>0</v>
      </c>
      <c r="K285" s="48" t="s">
        <v>14</v>
      </c>
      <c r="L285" s="48" t="s">
        <v>15</v>
      </c>
      <c r="M285" s="38">
        <v>43220</v>
      </c>
      <c r="N285" s="48" t="s">
        <v>18</v>
      </c>
      <c r="O285" s="35">
        <v>99000</v>
      </c>
      <c r="P285" s="35">
        <v>99000</v>
      </c>
      <c r="Q285" s="35">
        <v>99000</v>
      </c>
      <c r="R285" s="35"/>
      <c r="S285" s="58"/>
      <c r="T285" s="58"/>
    </row>
    <row r="286" spans="1:20" s="15" customFormat="1" ht="26.25" customHeight="1" x14ac:dyDescent="0.2">
      <c r="A286" s="43" t="s">
        <v>1090</v>
      </c>
      <c r="B286" s="46" t="s">
        <v>69</v>
      </c>
      <c r="C286" s="44" t="s">
        <v>1096</v>
      </c>
      <c r="D286" s="47">
        <v>14669</v>
      </c>
      <c r="E286" s="46" t="s">
        <v>1104</v>
      </c>
      <c r="F286" s="35">
        <f>34184+35000+35000</f>
        <v>104184</v>
      </c>
      <c r="G286" s="35">
        <f>34184+35000+35000</f>
        <v>104184</v>
      </c>
      <c r="H286" s="35">
        <v>0</v>
      </c>
      <c r="I286" s="35">
        <f t="shared" si="8"/>
        <v>104184</v>
      </c>
      <c r="J286" s="36">
        <f t="shared" si="9"/>
        <v>0</v>
      </c>
      <c r="K286" s="48" t="s">
        <v>14</v>
      </c>
      <c r="L286" s="48" t="s">
        <v>14</v>
      </c>
      <c r="M286" s="38">
        <v>43230</v>
      </c>
      <c r="N286" s="48" t="s">
        <v>18</v>
      </c>
      <c r="O286" s="35">
        <v>34184</v>
      </c>
      <c r="P286" s="35">
        <v>35000</v>
      </c>
      <c r="Q286" s="35">
        <v>35000</v>
      </c>
      <c r="R286" s="35"/>
      <c r="S286" s="58"/>
      <c r="T286" s="58"/>
    </row>
    <row r="287" spans="1:20" s="15" customFormat="1" ht="26.25" customHeight="1" x14ac:dyDescent="0.2">
      <c r="A287" s="43" t="s">
        <v>461</v>
      </c>
      <c r="B287" s="46" t="s">
        <v>69</v>
      </c>
      <c r="C287" s="44" t="s">
        <v>476</v>
      </c>
      <c r="D287" s="47">
        <v>13606</v>
      </c>
      <c r="E287" s="46" t="s">
        <v>488</v>
      </c>
      <c r="F287" s="35">
        <v>20940</v>
      </c>
      <c r="G287" s="35">
        <v>40000</v>
      </c>
      <c r="H287" s="35">
        <v>20940</v>
      </c>
      <c r="I287" s="35">
        <f t="shared" si="8"/>
        <v>60940</v>
      </c>
      <c r="J287" s="36">
        <f t="shared" si="9"/>
        <v>0.52349999999999997</v>
      </c>
      <c r="K287" s="48" t="s">
        <v>14</v>
      </c>
      <c r="L287" s="48" t="s">
        <v>14</v>
      </c>
      <c r="M287" s="38">
        <v>42886</v>
      </c>
      <c r="N287" s="48" t="s">
        <v>28</v>
      </c>
      <c r="O287" s="35">
        <v>20940</v>
      </c>
      <c r="P287" s="35"/>
      <c r="Q287" s="35"/>
      <c r="R287" s="35"/>
      <c r="S287" s="58"/>
      <c r="T287" s="58"/>
    </row>
    <row r="288" spans="1:20" s="15" customFormat="1" ht="26.25" customHeight="1" x14ac:dyDescent="0.2">
      <c r="A288" s="43" t="s">
        <v>370</v>
      </c>
      <c r="B288" s="46" t="s">
        <v>69</v>
      </c>
      <c r="C288" s="44" t="s">
        <v>377</v>
      </c>
      <c r="D288" s="47">
        <v>13367</v>
      </c>
      <c r="E288" s="46" t="s">
        <v>385</v>
      </c>
      <c r="F288" s="35">
        <v>18000</v>
      </c>
      <c r="G288" s="40">
        <v>18000</v>
      </c>
      <c r="H288" s="35">
        <v>0</v>
      </c>
      <c r="I288" s="35">
        <f t="shared" si="8"/>
        <v>18000</v>
      </c>
      <c r="J288" s="36">
        <f t="shared" si="9"/>
        <v>0</v>
      </c>
      <c r="K288" s="48" t="s">
        <v>14</v>
      </c>
      <c r="L288" s="48" t="s">
        <v>14</v>
      </c>
      <c r="M288" s="38">
        <v>43008</v>
      </c>
      <c r="N288" s="48"/>
      <c r="O288" s="35">
        <v>18000</v>
      </c>
      <c r="P288" s="35"/>
      <c r="Q288" s="35"/>
      <c r="R288" s="35"/>
      <c r="S288" s="58"/>
      <c r="T288" s="58"/>
    </row>
    <row r="289" spans="1:20" s="15" customFormat="1" ht="26.25" customHeight="1" x14ac:dyDescent="0.2">
      <c r="A289" s="43" t="s">
        <v>1018</v>
      </c>
      <c r="B289" s="46" t="s">
        <v>69</v>
      </c>
      <c r="C289" s="44" t="s">
        <v>1031</v>
      </c>
      <c r="D289" s="47">
        <v>14548</v>
      </c>
      <c r="E289" s="46" t="s">
        <v>1044</v>
      </c>
      <c r="F289" s="35">
        <f>24000*3</f>
        <v>72000</v>
      </c>
      <c r="G289" s="35">
        <f>24000*3</f>
        <v>72000</v>
      </c>
      <c r="H289" s="35">
        <v>0</v>
      </c>
      <c r="I289" s="35">
        <f t="shared" si="8"/>
        <v>72000</v>
      </c>
      <c r="J289" s="36">
        <f t="shared" si="9"/>
        <v>0</v>
      </c>
      <c r="K289" s="48" t="s">
        <v>14</v>
      </c>
      <c r="L289" s="48" t="s">
        <v>14</v>
      </c>
      <c r="M289" s="38">
        <v>43217</v>
      </c>
      <c r="N289" s="48" t="s">
        <v>18</v>
      </c>
      <c r="O289" s="35">
        <v>24000</v>
      </c>
      <c r="P289" s="35">
        <v>24000</v>
      </c>
      <c r="Q289" s="35">
        <v>24000</v>
      </c>
      <c r="R289" s="35"/>
      <c r="S289" s="58"/>
      <c r="T289" s="58"/>
    </row>
    <row r="290" spans="1:20" s="15" customFormat="1" ht="26.25" customHeight="1" x14ac:dyDescent="0.2">
      <c r="A290" s="43" t="s">
        <v>1024</v>
      </c>
      <c r="B290" s="46" t="s">
        <v>69</v>
      </c>
      <c r="C290" s="44" t="s">
        <v>1036</v>
      </c>
      <c r="D290" s="47">
        <v>14601</v>
      </c>
      <c r="E290" s="46" t="s">
        <v>1051</v>
      </c>
      <c r="F290" s="35">
        <f>8835*3</f>
        <v>26505</v>
      </c>
      <c r="G290" s="35">
        <f>8835*3</f>
        <v>26505</v>
      </c>
      <c r="H290" s="35">
        <v>0</v>
      </c>
      <c r="I290" s="35">
        <f t="shared" si="8"/>
        <v>26505</v>
      </c>
      <c r="J290" s="36">
        <f t="shared" si="9"/>
        <v>0</v>
      </c>
      <c r="K290" s="48" t="s">
        <v>14</v>
      </c>
      <c r="L290" s="48" t="s">
        <v>14</v>
      </c>
      <c r="M290" s="38">
        <v>43206</v>
      </c>
      <c r="N290" s="48" t="s">
        <v>18</v>
      </c>
      <c r="O290" s="35">
        <v>8835</v>
      </c>
      <c r="P290" s="35">
        <v>8835</v>
      </c>
      <c r="Q290" s="35">
        <v>8835</v>
      </c>
      <c r="R290" s="35"/>
      <c r="S290" s="58"/>
      <c r="T290" s="58"/>
    </row>
    <row r="291" spans="1:20" s="15" customFormat="1" ht="26.25" customHeight="1" x14ac:dyDescent="0.2">
      <c r="A291" s="43" t="s">
        <v>524</v>
      </c>
      <c r="B291" s="46" t="s">
        <v>69</v>
      </c>
      <c r="C291" s="44" t="s">
        <v>532</v>
      </c>
      <c r="D291" s="47">
        <v>13635</v>
      </c>
      <c r="E291" s="46" t="s">
        <v>539</v>
      </c>
      <c r="F291" s="35">
        <f>21495*3</f>
        <v>64485</v>
      </c>
      <c r="G291" s="35">
        <f>21495*3</f>
        <v>64485</v>
      </c>
      <c r="H291" s="35">
        <v>0</v>
      </c>
      <c r="I291" s="35">
        <f t="shared" si="8"/>
        <v>64485</v>
      </c>
      <c r="J291" s="36">
        <f t="shared" si="9"/>
        <v>0</v>
      </c>
      <c r="K291" s="48" t="s">
        <v>14</v>
      </c>
      <c r="L291" s="48" t="s">
        <v>14</v>
      </c>
      <c r="M291" s="38">
        <v>42961</v>
      </c>
      <c r="N291" s="48" t="s">
        <v>18</v>
      </c>
      <c r="O291" s="35">
        <v>21495</v>
      </c>
      <c r="P291" s="35">
        <v>21495</v>
      </c>
      <c r="Q291" s="35">
        <v>21495</v>
      </c>
      <c r="R291" s="35"/>
      <c r="S291" s="58"/>
      <c r="T291" s="58"/>
    </row>
    <row r="292" spans="1:20" s="15" customFormat="1" ht="26.25" customHeight="1" x14ac:dyDescent="0.2">
      <c r="A292" s="43" t="s">
        <v>371</v>
      </c>
      <c r="B292" s="46" t="s">
        <v>69</v>
      </c>
      <c r="C292" s="44" t="s">
        <v>60</v>
      </c>
      <c r="D292" s="47">
        <v>13376</v>
      </c>
      <c r="E292" s="55" t="s">
        <v>386</v>
      </c>
      <c r="F292" s="35">
        <v>45000</v>
      </c>
      <c r="G292" s="40">
        <v>45000</v>
      </c>
      <c r="H292" s="35">
        <v>0</v>
      </c>
      <c r="I292" s="35">
        <f t="shared" si="8"/>
        <v>45000</v>
      </c>
      <c r="J292" s="36">
        <f t="shared" si="9"/>
        <v>0</v>
      </c>
      <c r="K292" s="48" t="s">
        <v>14</v>
      </c>
      <c r="L292" s="48" t="s">
        <v>14</v>
      </c>
      <c r="M292" s="52">
        <v>42993</v>
      </c>
      <c r="N292" s="48"/>
      <c r="O292" s="35">
        <v>45000</v>
      </c>
      <c r="P292" s="35"/>
      <c r="Q292" s="35"/>
      <c r="R292" s="35"/>
      <c r="S292" s="58"/>
      <c r="T292" s="58"/>
    </row>
    <row r="293" spans="1:20" s="15" customFormat="1" ht="26.25" customHeight="1" x14ac:dyDescent="0.2">
      <c r="A293" s="43" t="s">
        <v>250</v>
      </c>
      <c r="B293" s="46" t="s">
        <v>69</v>
      </c>
      <c r="C293" s="44" t="s">
        <v>51</v>
      </c>
      <c r="D293" s="47">
        <v>13231</v>
      </c>
      <c r="E293" s="46" t="s">
        <v>284</v>
      </c>
      <c r="F293" s="35">
        <f>15816+15816</f>
        <v>31632</v>
      </c>
      <c r="G293" s="35">
        <v>23500</v>
      </c>
      <c r="H293" s="35">
        <f>15816+15816</f>
        <v>31632</v>
      </c>
      <c r="I293" s="35">
        <f t="shared" si="8"/>
        <v>55132</v>
      </c>
      <c r="J293" s="36">
        <f t="shared" si="9"/>
        <v>1.3460425531914895</v>
      </c>
      <c r="K293" s="48" t="s">
        <v>14</v>
      </c>
      <c r="L293" s="48" t="s">
        <v>14</v>
      </c>
      <c r="M293" s="38">
        <v>42911</v>
      </c>
      <c r="N293" s="48" t="s">
        <v>28</v>
      </c>
      <c r="O293" s="35">
        <v>15816</v>
      </c>
      <c r="P293" s="35">
        <v>15816</v>
      </c>
      <c r="Q293" s="35"/>
      <c r="R293" s="35"/>
      <c r="S293" s="58"/>
      <c r="T293" s="58"/>
    </row>
    <row r="294" spans="1:20" s="15" customFormat="1" ht="26.25" customHeight="1" x14ac:dyDescent="0.2">
      <c r="A294" s="43" t="s">
        <v>901</v>
      </c>
      <c r="B294" s="46" t="s">
        <v>69</v>
      </c>
      <c r="C294" s="44" t="s">
        <v>905</v>
      </c>
      <c r="D294" s="47">
        <v>14280</v>
      </c>
      <c r="E294" s="46" t="s">
        <v>910</v>
      </c>
      <c r="F294" s="35">
        <f>20519*3</f>
        <v>61557</v>
      </c>
      <c r="G294" s="35">
        <f>20519*3</f>
        <v>61557</v>
      </c>
      <c r="H294" s="35">
        <v>0</v>
      </c>
      <c r="I294" s="35">
        <f t="shared" si="8"/>
        <v>61557</v>
      </c>
      <c r="J294" s="36">
        <f t="shared" si="9"/>
        <v>0</v>
      </c>
      <c r="K294" s="48" t="s">
        <v>14</v>
      </c>
      <c r="L294" s="48" t="s">
        <v>14</v>
      </c>
      <c r="M294" s="38">
        <v>43111</v>
      </c>
      <c r="N294" s="48" t="s">
        <v>18</v>
      </c>
      <c r="O294" s="35">
        <v>20519</v>
      </c>
      <c r="P294" s="35">
        <v>20519</v>
      </c>
      <c r="Q294" s="35">
        <v>20519</v>
      </c>
      <c r="R294" s="35"/>
      <c r="S294" s="58"/>
      <c r="T294" s="58"/>
    </row>
    <row r="295" spans="1:20" s="15" customFormat="1" ht="26.25" customHeight="1" x14ac:dyDescent="0.2">
      <c r="A295" s="43" t="s">
        <v>1105</v>
      </c>
      <c r="B295" s="46" t="s">
        <v>69</v>
      </c>
      <c r="C295" s="44" t="s">
        <v>924</v>
      </c>
      <c r="D295" s="47">
        <v>14570</v>
      </c>
      <c r="E295" s="46" t="s">
        <v>1109</v>
      </c>
      <c r="F295" s="35">
        <v>95825</v>
      </c>
      <c r="G295" s="35">
        <v>95825</v>
      </c>
      <c r="H295" s="35">
        <v>0</v>
      </c>
      <c r="I295" s="35">
        <f t="shared" si="8"/>
        <v>95825</v>
      </c>
      <c r="J295" s="36">
        <f t="shared" si="9"/>
        <v>0</v>
      </c>
      <c r="K295" s="48" t="s">
        <v>14</v>
      </c>
      <c r="L295" s="48" t="s">
        <v>14</v>
      </c>
      <c r="M295" s="38">
        <v>43220</v>
      </c>
      <c r="N295" s="48"/>
      <c r="O295" s="35">
        <v>95825</v>
      </c>
      <c r="P295" s="35"/>
      <c r="Q295" s="35"/>
      <c r="R295" s="35"/>
      <c r="S295" s="58"/>
      <c r="T295" s="58"/>
    </row>
    <row r="296" spans="1:20" s="15" customFormat="1" ht="26.25" customHeight="1" x14ac:dyDescent="0.2">
      <c r="A296" s="43" t="s">
        <v>500</v>
      </c>
      <c r="B296" s="46" t="s">
        <v>69</v>
      </c>
      <c r="C296" s="44" t="s">
        <v>507</v>
      </c>
      <c r="D296" s="47">
        <v>13665</v>
      </c>
      <c r="E296" s="46" t="s">
        <v>514</v>
      </c>
      <c r="F296" s="35">
        <f>98400+99000+99000</f>
        <v>296400</v>
      </c>
      <c r="G296" s="35">
        <f>98400+99000+99000</f>
        <v>296400</v>
      </c>
      <c r="H296" s="35">
        <v>0</v>
      </c>
      <c r="I296" s="35">
        <f t="shared" si="8"/>
        <v>296400</v>
      </c>
      <c r="J296" s="36">
        <f t="shared" si="9"/>
        <v>0</v>
      </c>
      <c r="K296" s="48" t="s">
        <v>14</v>
      </c>
      <c r="L296" s="48" t="s">
        <v>14</v>
      </c>
      <c r="M296" s="38">
        <v>43037</v>
      </c>
      <c r="N296" s="48" t="s">
        <v>18</v>
      </c>
      <c r="O296" s="35">
        <v>98400</v>
      </c>
      <c r="P296" s="35">
        <v>99000</v>
      </c>
      <c r="Q296" s="35">
        <v>99000</v>
      </c>
      <c r="R296" s="35"/>
      <c r="S296" s="58"/>
      <c r="T296" s="58"/>
    </row>
    <row r="297" spans="1:20" s="15" customFormat="1" ht="26.25" customHeight="1" x14ac:dyDescent="0.2">
      <c r="A297" s="43" t="s">
        <v>737</v>
      </c>
      <c r="B297" s="46" t="s">
        <v>69</v>
      </c>
      <c r="C297" s="44" t="s">
        <v>507</v>
      </c>
      <c r="D297" s="47">
        <v>13993</v>
      </c>
      <c r="E297" s="46" t="s">
        <v>752</v>
      </c>
      <c r="F297" s="35">
        <f>12750+13000+14000</f>
        <v>39750</v>
      </c>
      <c r="G297" s="35">
        <f>12750+13000+14000</f>
        <v>39750</v>
      </c>
      <c r="H297" s="35">
        <v>0</v>
      </c>
      <c r="I297" s="35">
        <f t="shared" si="8"/>
        <v>39750</v>
      </c>
      <c r="J297" s="36">
        <f t="shared" si="9"/>
        <v>0</v>
      </c>
      <c r="K297" s="48" t="s">
        <v>14</v>
      </c>
      <c r="L297" s="48" t="s">
        <v>14</v>
      </c>
      <c r="M297" s="38">
        <v>42673</v>
      </c>
      <c r="N297" s="48" t="s">
        <v>18</v>
      </c>
      <c r="O297" s="35">
        <v>12750</v>
      </c>
      <c r="P297" s="35">
        <v>13000</v>
      </c>
      <c r="Q297" s="35">
        <v>14000</v>
      </c>
      <c r="R297" s="35"/>
      <c r="S297" s="58"/>
      <c r="T297" s="58"/>
    </row>
    <row r="298" spans="1:20" s="15" customFormat="1" ht="26.25" customHeight="1" x14ac:dyDescent="0.2">
      <c r="A298" s="43" t="s">
        <v>860</v>
      </c>
      <c r="B298" s="46" t="s">
        <v>69</v>
      </c>
      <c r="C298" s="44" t="s">
        <v>862</v>
      </c>
      <c r="D298" s="47">
        <v>14197</v>
      </c>
      <c r="E298" s="46" t="s">
        <v>866</v>
      </c>
      <c r="F298" s="35">
        <f>12638+5000+5000</f>
        <v>22638</v>
      </c>
      <c r="G298" s="35">
        <f>12638+5000+5000</f>
        <v>22638</v>
      </c>
      <c r="H298" s="35">
        <v>0</v>
      </c>
      <c r="I298" s="35">
        <f t="shared" si="8"/>
        <v>22638</v>
      </c>
      <c r="J298" s="36">
        <f t="shared" si="9"/>
        <v>0</v>
      </c>
      <c r="K298" s="48" t="s">
        <v>14</v>
      </c>
      <c r="L298" s="48" t="s">
        <v>15</v>
      </c>
      <c r="M298" s="38">
        <v>43160</v>
      </c>
      <c r="N298" s="48" t="s">
        <v>18</v>
      </c>
      <c r="O298" s="35">
        <v>12638</v>
      </c>
      <c r="P298" s="35">
        <v>5000</v>
      </c>
      <c r="Q298" s="35">
        <v>5000</v>
      </c>
      <c r="R298" s="35"/>
      <c r="S298" s="58"/>
      <c r="T298" s="58"/>
    </row>
    <row r="299" spans="1:20" s="15" customFormat="1" ht="26.25" customHeight="1" x14ac:dyDescent="0.2">
      <c r="A299" s="43" t="s">
        <v>185</v>
      </c>
      <c r="B299" s="46" t="s">
        <v>69</v>
      </c>
      <c r="C299" s="44" t="s">
        <v>200</v>
      </c>
      <c r="D299" s="34">
        <v>12967</v>
      </c>
      <c r="E299" s="46" t="s">
        <v>216</v>
      </c>
      <c r="F299" s="40">
        <v>64082</v>
      </c>
      <c r="G299" s="40">
        <v>64082</v>
      </c>
      <c r="H299" s="35">
        <v>0</v>
      </c>
      <c r="I299" s="35">
        <f t="shared" si="8"/>
        <v>64082</v>
      </c>
      <c r="J299" s="36">
        <f t="shared" si="9"/>
        <v>0</v>
      </c>
      <c r="K299" s="48" t="s">
        <v>14</v>
      </c>
      <c r="L299" s="48" t="s">
        <v>14</v>
      </c>
      <c r="M299" s="38">
        <v>42735</v>
      </c>
      <c r="N299" s="48"/>
      <c r="O299" s="41">
        <v>64082</v>
      </c>
      <c r="P299" s="41"/>
      <c r="Q299" s="41"/>
      <c r="R299" s="41"/>
      <c r="S299" s="58"/>
      <c r="T299" s="58"/>
    </row>
    <row r="300" spans="1:20" s="15" customFormat="1" ht="26.25" customHeight="1" x14ac:dyDescent="0.2">
      <c r="A300" s="43" t="s">
        <v>1130</v>
      </c>
      <c r="B300" s="46" t="s">
        <v>69</v>
      </c>
      <c r="C300" s="44" t="s">
        <v>265</v>
      </c>
      <c r="D300" s="47">
        <v>14760</v>
      </c>
      <c r="E300" s="46" t="s">
        <v>1133</v>
      </c>
      <c r="F300" s="35">
        <v>55000</v>
      </c>
      <c r="G300" s="35">
        <v>55000</v>
      </c>
      <c r="H300" s="35">
        <v>0</v>
      </c>
      <c r="I300" s="35">
        <f t="shared" si="8"/>
        <v>55000</v>
      </c>
      <c r="J300" s="36">
        <f t="shared" si="9"/>
        <v>0</v>
      </c>
      <c r="K300" s="48" t="s">
        <v>14</v>
      </c>
      <c r="L300" s="48" t="s">
        <v>14</v>
      </c>
      <c r="M300" s="38">
        <v>43251</v>
      </c>
      <c r="N300" s="48"/>
      <c r="O300" s="35">
        <v>55000</v>
      </c>
      <c r="P300" s="35"/>
      <c r="Q300" s="35"/>
      <c r="R300" s="35"/>
      <c r="S300" s="58"/>
      <c r="T300" s="58"/>
    </row>
    <row r="301" spans="1:20" s="15" customFormat="1" ht="26.25" customHeight="1" x14ac:dyDescent="0.2">
      <c r="A301" s="43" t="s">
        <v>574</v>
      </c>
      <c r="B301" s="46" t="s">
        <v>69</v>
      </c>
      <c r="C301" s="44" t="s">
        <v>578</v>
      </c>
      <c r="D301" s="47">
        <v>13696</v>
      </c>
      <c r="E301" s="46" t="s">
        <v>583</v>
      </c>
      <c r="F301" s="35">
        <f>59408*3</f>
        <v>178224</v>
      </c>
      <c r="G301" s="35">
        <f>59408*3</f>
        <v>178224</v>
      </c>
      <c r="H301" s="35">
        <v>0</v>
      </c>
      <c r="I301" s="35">
        <f t="shared" si="8"/>
        <v>178224</v>
      </c>
      <c r="J301" s="36">
        <f t="shared" si="9"/>
        <v>0</v>
      </c>
      <c r="K301" s="48" t="s">
        <v>14</v>
      </c>
      <c r="L301" s="48" t="s">
        <v>14</v>
      </c>
      <c r="M301" s="38">
        <v>43085</v>
      </c>
      <c r="N301" s="48" t="s">
        <v>18</v>
      </c>
      <c r="O301" s="35">
        <v>59408</v>
      </c>
      <c r="P301" s="35">
        <v>59408</v>
      </c>
      <c r="Q301" s="35">
        <v>59408</v>
      </c>
      <c r="R301" s="35"/>
      <c r="S301" s="58"/>
      <c r="T301" s="58"/>
    </row>
    <row r="302" spans="1:20" s="15" customFormat="1" ht="26.25" customHeight="1" x14ac:dyDescent="0.2">
      <c r="A302" s="43" t="s">
        <v>731</v>
      </c>
      <c r="B302" s="46" t="s">
        <v>69</v>
      </c>
      <c r="C302" s="44" t="s">
        <v>578</v>
      </c>
      <c r="D302" s="47">
        <v>13771</v>
      </c>
      <c r="E302" s="46" t="s">
        <v>746</v>
      </c>
      <c r="F302" s="35">
        <f>52440+55000+58000</f>
        <v>165440</v>
      </c>
      <c r="G302" s="35">
        <f>52440+55000+58000</f>
        <v>165440</v>
      </c>
      <c r="H302" s="35">
        <v>0</v>
      </c>
      <c r="I302" s="35">
        <f t="shared" si="8"/>
        <v>165440</v>
      </c>
      <c r="J302" s="36">
        <f t="shared" si="9"/>
        <v>0</v>
      </c>
      <c r="K302" s="48" t="s">
        <v>14</v>
      </c>
      <c r="L302" s="48" t="s">
        <v>14</v>
      </c>
      <c r="M302" s="38">
        <v>43085</v>
      </c>
      <c r="N302" s="48" t="s">
        <v>18</v>
      </c>
      <c r="O302" s="35">
        <v>52440</v>
      </c>
      <c r="P302" s="35">
        <v>55000</v>
      </c>
      <c r="Q302" s="35">
        <v>58000</v>
      </c>
      <c r="R302" s="35"/>
      <c r="S302" s="58"/>
      <c r="T302" s="58"/>
    </row>
    <row r="303" spans="1:20" s="15" customFormat="1" ht="26.25" customHeight="1" x14ac:dyDescent="0.2">
      <c r="A303" s="43" t="s">
        <v>436</v>
      </c>
      <c r="B303" s="46" t="s">
        <v>69</v>
      </c>
      <c r="C303" s="44" t="s">
        <v>438</v>
      </c>
      <c r="D303" s="47">
        <v>13477</v>
      </c>
      <c r="E303" s="46" t="s">
        <v>440</v>
      </c>
      <c r="F303" s="35">
        <v>98400</v>
      </c>
      <c r="G303" s="35">
        <v>98400</v>
      </c>
      <c r="H303" s="35">
        <v>0</v>
      </c>
      <c r="I303" s="35">
        <f t="shared" si="8"/>
        <v>98400</v>
      </c>
      <c r="J303" s="36">
        <f t="shared" si="9"/>
        <v>0</v>
      </c>
      <c r="K303" s="48" t="s">
        <v>14</v>
      </c>
      <c r="L303" s="48" t="s">
        <v>14</v>
      </c>
      <c r="M303" s="38">
        <v>43070</v>
      </c>
      <c r="N303" s="48"/>
      <c r="O303" s="35">
        <v>98400</v>
      </c>
      <c r="P303" s="35"/>
      <c r="Q303" s="35"/>
      <c r="R303" s="35"/>
      <c r="S303" s="58"/>
      <c r="T303" s="58"/>
    </row>
    <row r="304" spans="1:20" s="15" customFormat="1" ht="26.25" customHeight="1" x14ac:dyDescent="0.2">
      <c r="A304" s="43" t="s">
        <v>1088</v>
      </c>
      <c r="B304" s="46" t="s">
        <v>69</v>
      </c>
      <c r="C304" s="44" t="s">
        <v>1094</v>
      </c>
      <c r="D304" s="47">
        <v>14618</v>
      </c>
      <c r="E304" s="46" t="s">
        <v>1102</v>
      </c>
      <c r="F304" s="35">
        <f>6995*3</f>
        <v>20985</v>
      </c>
      <c r="G304" s="35">
        <f>6995*3</f>
        <v>20985</v>
      </c>
      <c r="H304" s="35">
        <v>0</v>
      </c>
      <c r="I304" s="35">
        <f t="shared" si="8"/>
        <v>20985</v>
      </c>
      <c r="J304" s="36">
        <f t="shared" si="9"/>
        <v>0</v>
      </c>
      <c r="K304" s="48" t="s">
        <v>14</v>
      </c>
      <c r="L304" s="48" t="s">
        <v>14</v>
      </c>
      <c r="M304" s="38">
        <v>43210</v>
      </c>
      <c r="N304" s="48" t="s">
        <v>18</v>
      </c>
      <c r="O304" s="35">
        <v>6995</v>
      </c>
      <c r="P304" s="35">
        <v>6995</v>
      </c>
      <c r="Q304" s="35">
        <v>6995</v>
      </c>
      <c r="R304" s="35"/>
      <c r="S304" s="58"/>
      <c r="T304" s="58"/>
    </row>
    <row r="305" spans="1:20" s="15" customFormat="1" ht="26.25" customHeight="1" x14ac:dyDescent="0.2">
      <c r="A305" s="43" t="s">
        <v>503</v>
      </c>
      <c r="B305" s="46" t="s">
        <v>69</v>
      </c>
      <c r="C305" s="44" t="s">
        <v>510</v>
      </c>
      <c r="D305" s="47">
        <v>13581</v>
      </c>
      <c r="E305" s="46" t="s">
        <v>518</v>
      </c>
      <c r="F305" s="35">
        <v>54000</v>
      </c>
      <c r="G305" s="35">
        <v>45000</v>
      </c>
      <c r="H305" s="35">
        <v>54000</v>
      </c>
      <c r="I305" s="35">
        <f t="shared" si="8"/>
        <v>99000</v>
      </c>
      <c r="J305" s="36">
        <f t="shared" si="9"/>
        <v>1.2</v>
      </c>
      <c r="K305" s="48" t="s">
        <v>14</v>
      </c>
      <c r="L305" s="48" t="s">
        <v>14</v>
      </c>
      <c r="M305" s="38">
        <v>42916</v>
      </c>
      <c r="N305" s="48" t="s">
        <v>28</v>
      </c>
      <c r="O305" s="35">
        <v>54000</v>
      </c>
      <c r="P305" s="35"/>
      <c r="Q305" s="35"/>
      <c r="R305" s="35"/>
      <c r="S305" s="58"/>
      <c r="T305" s="58"/>
    </row>
    <row r="306" spans="1:20" s="15" customFormat="1" ht="26.25" customHeight="1" x14ac:dyDescent="0.2">
      <c r="A306" s="43" t="s">
        <v>369</v>
      </c>
      <c r="B306" s="46" t="s">
        <v>69</v>
      </c>
      <c r="C306" s="44" t="s">
        <v>32</v>
      </c>
      <c r="D306" s="47">
        <v>13366</v>
      </c>
      <c r="E306" s="46" t="s">
        <v>384</v>
      </c>
      <c r="F306" s="35">
        <f>24756*3</f>
        <v>74268</v>
      </c>
      <c r="G306" s="35">
        <f>24756*3</f>
        <v>74268</v>
      </c>
      <c r="H306" s="35">
        <v>0</v>
      </c>
      <c r="I306" s="35">
        <f t="shared" si="8"/>
        <v>74268</v>
      </c>
      <c r="J306" s="36">
        <f t="shared" si="9"/>
        <v>0</v>
      </c>
      <c r="K306" s="48" t="s">
        <v>14</v>
      </c>
      <c r="L306" s="48" t="s">
        <v>14</v>
      </c>
      <c r="M306" s="38">
        <v>43008</v>
      </c>
      <c r="N306" s="48" t="s">
        <v>18</v>
      </c>
      <c r="O306" s="35">
        <v>24756</v>
      </c>
      <c r="P306" s="35">
        <v>24756</v>
      </c>
      <c r="Q306" s="35">
        <v>24756</v>
      </c>
      <c r="R306" s="35"/>
      <c r="S306" s="58"/>
      <c r="T306" s="58"/>
    </row>
    <row r="307" spans="1:20" s="15" customFormat="1" ht="26.25" customHeight="1" x14ac:dyDescent="0.2">
      <c r="A307" s="43" t="s">
        <v>1020</v>
      </c>
      <c r="B307" s="46" t="s">
        <v>69</v>
      </c>
      <c r="C307" s="44" t="s">
        <v>1033</v>
      </c>
      <c r="D307" s="47">
        <v>14551</v>
      </c>
      <c r="E307" s="46" t="s">
        <v>1046</v>
      </c>
      <c r="F307" s="35">
        <f>20397+21100+21700</f>
        <v>63197</v>
      </c>
      <c r="G307" s="35">
        <f>20397+21100+21700</f>
        <v>63197</v>
      </c>
      <c r="H307" s="35">
        <v>0</v>
      </c>
      <c r="I307" s="35">
        <f t="shared" si="8"/>
        <v>63197</v>
      </c>
      <c r="J307" s="36">
        <f t="shared" si="9"/>
        <v>0</v>
      </c>
      <c r="K307" s="48" t="s">
        <v>14</v>
      </c>
      <c r="L307" s="48" t="s">
        <v>14</v>
      </c>
      <c r="M307" s="38">
        <v>43226</v>
      </c>
      <c r="N307" s="48" t="s">
        <v>18</v>
      </c>
      <c r="O307" s="35">
        <v>20397</v>
      </c>
      <c r="P307" s="35">
        <v>21100</v>
      </c>
      <c r="Q307" s="35">
        <v>21700</v>
      </c>
      <c r="R307" s="35"/>
      <c r="S307" s="58"/>
      <c r="T307" s="58"/>
    </row>
    <row r="308" spans="1:20" s="15" customFormat="1" ht="26.25" customHeight="1" x14ac:dyDescent="0.2">
      <c r="A308" s="43" t="s">
        <v>573</v>
      </c>
      <c r="B308" s="46" t="s">
        <v>69</v>
      </c>
      <c r="C308" s="44" t="s">
        <v>577</v>
      </c>
      <c r="D308" s="47">
        <v>13674</v>
      </c>
      <c r="E308" s="46" t="s">
        <v>581</v>
      </c>
      <c r="F308" s="35">
        <v>99000</v>
      </c>
      <c r="G308" s="35">
        <v>99000</v>
      </c>
      <c r="H308" s="35">
        <v>0</v>
      </c>
      <c r="I308" s="35">
        <f t="shared" si="8"/>
        <v>99000</v>
      </c>
      <c r="J308" s="36">
        <f t="shared" si="9"/>
        <v>0</v>
      </c>
      <c r="K308" s="48" t="s">
        <v>14</v>
      </c>
      <c r="L308" s="48" t="s">
        <v>14</v>
      </c>
      <c r="M308" s="38">
        <v>43069</v>
      </c>
      <c r="N308" s="48"/>
      <c r="O308" s="35">
        <v>99000</v>
      </c>
      <c r="P308" s="35"/>
      <c r="Q308" s="35"/>
      <c r="R308" s="35"/>
      <c r="S308" s="58"/>
      <c r="T308" s="58"/>
    </row>
    <row r="309" spans="1:20" s="15" customFormat="1" ht="26.25" customHeight="1" x14ac:dyDescent="0.2">
      <c r="A309" s="43" t="s">
        <v>1089</v>
      </c>
      <c r="B309" s="46" t="s">
        <v>69</v>
      </c>
      <c r="C309" s="44" t="s">
        <v>1095</v>
      </c>
      <c r="D309" s="47">
        <v>14656</v>
      </c>
      <c r="E309" s="46" t="s">
        <v>1103</v>
      </c>
      <c r="F309" s="35">
        <f>10854+11000+11500</f>
        <v>33354</v>
      </c>
      <c r="G309" s="35">
        <f>10854+11000+11500</f>
        <v>33354</v>
      </c>
      <c r="H309" s="35">
        <v>0</v>
      </c>
      <c r="I309" s="35">
        <f t="shared" si="8"/>
        <v>33354</v>
      </c>
      <c r="J309" s="36">
        <f t="shared" si="9"/>
        <v>0</v>
      </c>
      <c r="K309" s="48" t="s">
        <v>14</v>
      </c>
      <c r="L309" s="48" t="s">
        <v>14</v>
      </c>
      <c r="M309" s="38">
        <v>43208</v>
      </c>
      <c r="N309" s="48" t="s">
        <v>18</v>
      </c>
      <c r="O309" s="35">
        <v>10854</v>
      </c>
      <c r="P309" s="35">
        <v>11000</v>
      </c>
      <c r="Q309" s="35">
        <v>11500</v>
      </c>
      <c r="R309" s="35"/>
      <c r="S309" s="58"/>
      <c r="T309" s="58"/>
    </row>
    <row r="310" spans="1:20" s="15" customFormat="1" ht="26.25" customHeight="1" x14ac:dyDescent="0.2">
      <c r="A310" s="43" t="s">
        <v>918</v>
      </c>
      <c r="B310" s="46" t="s">
        <v>69</v>
      </c>
      <c r="C310" s="44" t="s">
        <v>922</v>
      </c>
      <c r="D310" s="47">
        <v>14327</v>
      </c>
      <c r="E310" s="46" t="s">
        <v>925</v>
      </c>
      <c r="F310" s="35">
        <v>47823</v>
      </c>
      <c r="G310" s="35">
        <v>47823</v>
      </c>
      <c r="H310" s="35">
        <v>0</v>
      </c>
      <c r="I310" s="35">
        <f t="shared" si="8"/>
        <v>47823</v>
      </c>
      <c r="J310" s="36">
        <f t="shared" si="9"/>
        <v>0</v>
      </c>
      <c r="K310" s="48" t="s">
        <v>14</v>
      </c>
      <c r="L310" s="48" t="s">
        <v>14</v>
      </c>
      <c r="M310" s="38">
        <v>42825</v>
      </c>
      <c r="N310" s="48"/>
      <c r="O310" s="35">
        <v>47823</v>
      </c>
      <c r="P310" s="35"/>
      <c r="Q310" s="35"/>
      <c r="R310" s="35"/>
      <c r="S310" s="58"/>
      <c r="T310" s="58"/>
    </row>
    <row r="311" spans="1:20" s="15" customFormat="1" ht="26.25" customHeight="1" x14ac:dyDescent="0.2">
      <c r="A311" s="43" t="s">
        <v>397</v>
      </c>
      <c r="B311" s="46" t="s">
        <v>69</v>
      </c>
      <c r="C311" s="44" t="s">
        <v>401</v>
      </c>
      <c r="D311" s="47">
        <v>13449</v>
      </c>
      <c r="E311" s="46" t="s">
        <v>404</v>
      </c>
      <c r="F311" s="35">
        <v>20475</v>
      </c>
      <c r="G311" s="35">
        <v>20475</v>
      </c>
      <c r="H311" s="35">
        <v>0</v>
      </c>
      <c r="I311" s="35">
        <f t="shared" si="8"/>
        <v>20475</v>
      </c>
      <c r="J311" s="36">
        <f t="shared" si="9"/>
        <v>0</v>
      </c>
      <c r="K311" s="48" t="s">
        <v>14</v>
      </c>
      <c r="L311" s="48" t="s">
        <v>14</v>
      </c>
      <c r="M311" s="38">
        <v>43008</v>
      </c>
      <c r="N311" s="48"/>
      <c r="O311" s="35">
        <v>20475</v>
      </c>
      <c r="P311" s="35"/>
      <c r="Q311" s="35"/>
      <c r="R311" s="35"/>
      <c r="S311" s="58"/>
      <c r="T311" s="58"/>
    </row>
    <row r="312" spans="1:20" s="15" customFormat="1" ht="26.25" customHeight="1" x14ac:dyDescent="0.2">
      <c r="A312" s="43" t="s">
        <v>621</v>
      </c>
      <c r="B312" s="46" t="s">
        <v>69</v>
      </c>
      <c r="C312" s="44" t="s">
        <v>401</v>
      </c>
      <c r="D312" s="47">
        <v>13752</v>
      </c>
      <c r="E312" s="46" t="s">
        <v>648</v>
      </c>
      <c r="F312" s="35">
        <v>11375</v>
      </c>
      <c r="G312" s="35">
        <v>11375</v>
      </c>
      <c r="H312" s="35">
        <v>0</v>
      </c>
      <c r="I312" s="35">
        <f t="shared" si="8"/>
        <v>11375</v>
      </c>
      <c r="J312" s="36">
        <f t="shared" si="9"/>
        <v>0</v>
      </c>
      <c r="K312" s="48" t="s">
        <v>14</v>
      </c>
      <c r="L312" s="48" t="s">
        <v>14</v>
      </c>
      <c r="M312" s="38">
        <v>43084</v>
      </c>
      <c r="N312" s="48"/>
      <c r="O312" s="35">
        <v>11375</v>
      </c>
      <c r="P312" s="35"/>
      <c r="Q312" s="35"/>
      <c r="R312" s="35"/>
      <c r="S312" s="58"/>
      <c r="T312" s="58"/>
    </row>
    <row r="313" spans="1:20" s="15" customFormat="1" ht="26.25" customHeight="1" x14ac:dyDescent="0.2">
      <c r="A313" s="43" t="s">
        <v>936</v>
      </c>
      <c r="B313" s="46" t="s">
        <v>69</v>
      </c>
      <c r="C313" s="44" t="s">
        <v>401</v>
      </c>
      <c r="D313" s="47">
        <v>14281</v>
      </c>
      <c r="E313" s="46" t="s">
        <v>964</v>
      </c>
      <c r="F313" s="35">
        <v>90350</v>
      </c>
      <c r="G313" s="35">
        <v>90350</v>
      </c>
      <c r="H313" s="35">
        <v>0</v>
      </c>
      <c r="I313" s="35">
        <f t="shared" si="8"/>
        <v>90350</v>
      </c>
      <c r="J313" s="36">
        <f t="shared" si="9"/>
        <v>0</v>
      </c>
      <c r="K313" s="48" t="s">
        <v>14</v>
      </c>
      <c r="L313" s="48" t="s">
        <v>14</v>
      </c>
      <c r="M313" s="38">
        <v>43160</v>
      </c>
      <c r="N313" s="48"/>
      <c r="O313" s="35">
        <v>90350</v>
      </c>
      <c r="P313" s="35"/>
      <c r="Q313" s="35"/>
      <c r="R313" s="35"/>
      <c r="S313" s="58"/>
      <c r="T313" s="58"/>
    </row>
    <row r="314" spans="1:20" s="15" customFormat="1" ht="26.25" customHeight="1" x14ac:dyDescent="0.2">
      <c r="A314" s="43" t="s">
        <v>912</v>
      </c>
      <c r="B314" s="46" t="s">
        <v>69</v>
      </c>
      <c r="C314" s="44" t="s">
        <v>849</v>
      </c>
      <c r="D314" s="47">
        <v>14240</v>
      </c>
      <c r="E314" s="46" t="s">
        <v>916</v>
      </c>
      <c r="F314" s="35">
        <v>85000</v>
      </c>
      <c r="G314" s="35">
        <v>85000</v>
      </c>
      <c r="H314" s="35">
        <v>0</v>
      </c>
      <c r="I314" s="35">
        <f t="shared" si="8"/>
        <v>85000</v>
      </c>
      <c r="J314" s="36">
        <f t="shared" si="9"/>
        <v>0</v>
      </c>
      <c r="K314" s="48" t="s">
        <v>14</v>
      </c>
      <c r="L314" s="48" t="s">
        <v>15</v>
      </c>
      <c r="M314" s="38">
        <v>43160</v>
      </c>
      <c r="N314" s="48"/>
      <c r="O314" s="35">
        <v>85000</v>
      </c>
      <c r="P314" s="35"/>
      <c r="Q314" s="35"/>
      <c r="R314" s="35"/>
      <c r="S314" s="58"/>
      <c r="T314" s="58"/>
    </row>
    <row r="315" spans="1:20" s="15" customFormat="1" ht="26.25" customHeight="1" x14ac:dyDescent="0.2">
      <c r="A315" s="43" t="s">
        <v>551</v>
      </c>
      <c r="B315" s="46" t="s">
        <v>69</v>
      </c>
      <c r="C315" s="44" t="s">
        <v>562</v>
      </c>
      <c r="D315" s="47">
        <v>13698</v>
      </c>
      <c r="E315" s="46" t="s">
        <v>569</v>
      </c>
      <c r="F315" s="35">
        <f>48700*3</f>
        <v>146100</v>
      </c>
      <c r="G315" s="35">
        <f>48700*3</f>
        <v>146100</v>
      </c>
      <c r="H315" s="35">
        <v>0</v>
      </c>
      <c r="I315" s="35">
        <f t="shared" si="8"/>
        <v>146100</v>
      </c>
      <c r="J315" s="36">
        <f t="shared" si="9"/>
        <v>0</v>
      </c>
      <c r="K315" s="48" t="s">
        <v>14</v>
      </c>
      <c r="L315" s="48" t="s">
        <v>15</v>
      </c>
      <c r="M315" s="38">
        <v>42916</v>
      </c>
      <c r="N315" s="48" t="s">
        <v>18</v>
      </c>
      <c r="O315" s="35">
        <v>48700</v>
      </c>
      <c r="P315" s="35">
        <v>48700</v>
      </c>
      <c r="Q315" s="35">
        <v>48700</v>
      </c>
      <c r="R315" s="35"/>
      <c r="S315" s="58"/>
      <c r="T315" s="58"/>
    </row>
    <row r="316" spans="1:20" s="15" customFormat="1" ht="26.25" customHeight="1" x14ac:dyDescent="0.2">
      <c r="A316" s="43" t="s">
        <v>868</v>
      </c>
      <c r="B316" s="46" t="s">
        <v>69</v>
      </c>
      <c r="C316" s="44" t="s">
        <v>562</v>
      </c>
      <c r="D316" s="47">
        <v>14167</v>
      </c>
      <c r="E316" s="46" t="s">
        <v>874</v>
      </c>
      <c r="F316" s="35">
        <v>99540</v>
      </c>
      <c r="G316" s="35">
        <v>99540</v>
      </c>
      <c r="H316" s="35">
        <v>0</v>
      </c>
      <c r="I316" s="35">
        <f t="shared" si="8"/>
        <v>99540</v>
      </c>
      <c r="J316" s="36">
        <f t="shared" si="9"/>
        <v>0</v>
      </c>
      <c r="K316" s="48" t="s">
        <v>14</v>
      </c>
      <c r="L316" s="48" t="s">
        <v>15</v>
      </c>
      <c r="M316" s="38">
        <v>43160</v>
      </c>
      <c r="N316" s="48"/>
      <c r="O316" s="35">
        <v>99540</v>
      </c>
      <c r="P316" s="35"/>
      <c r="Q316" s="35"/>
      <c r="R316" s="35"/>
      <c r="S316" s="58"/>
      <c r="T316" s="58"/>
    </row>
    <row r="317" spans="1:20" s="15" customFormat="1" ht="26.25" customHeight="1" x14ac:dyDescent="0.2">
      <c r="A317" s="43" t="s">
        <v>869</v>
      </c>
      <c r="B317" s="46" t="s">
        <v>69</v>
      </c>
      <c r="C317" s="44" t="s">
        <v>562</v>
      </c>
      <c r="D317" s="47">
        <v>14168</v>
      </c>
      <c r="E317" s="46" t="s">
        <v>873</v>
      </c>
      <c r="F317" s="35">
        <v>99540</v>
      </c>
      <c r="G317" s="35">
        <v>99540</v>
      </c>
      <c r="H317" s="35">
        <v>0</v>
      </c>
      <c r="I317" s="35">
        <f t="shared" si="8"/>
        <v>99540</v>
      </c>
      <c r="J317" s="36">
        <f t="shared" si="9"/>
        <v>0</v>
      </c>
      <c r="K317" s="48" t="s">
        <v>14</v>
      </c>
      <c r="L317" s="48" t="s">
        <v>15</v>
      </c>
      <c r="M317" s="38">
        <v>43160</v>
      </c>
      <c r="N317" s="48"/>
      <c r="O317" s="35">
        <v>99540</v>
      </c>
      <c r="P317" s="35"/>
      <c r="Q317" s="35"/>
      <c r="R317" s="35"/>
      <c r="S317" s="58"/>
      <c r="T317" s="58"/>
    </row>
    <row r="318" spans="1:20" s="15" customFormat="1" ht="26.25" customHeight="1" x14ac:dyDescent="0.2">
      <c r="A318" s="43" t="s">
        <v>396</v>
      </c>
      <c r="B318" s="46" t="s">
        <v>69</v>
      </c>
      <c r="C318" s="44" t="s">
        <v>84</v>
      </c>
      <c r="D318" s="47">
        <v>13411</v>
      </c>
      <c r="E318" s="46" t="s">
        <v>403</v>
      </c>
      <c r="F318" s="35">
        <v>22371</v>
      </c>
      <c r="G318" s="35">
        <v>22371</v>
      </c>
      <c r="H318" s="35">
        <v>0</v>
      </c>
      <c r="I318" s="35">
        <f t="shared" si="8"/>
        <v>22371</v>
      </c>
      <c r="J318" s="36">
        <f t="shared" si="9"/>
        <v>0</v>
      </c>
      <c r="K318" s="48" t="s">
        <v>14</v>
      </c>
      <c r="L318" s="48" t="s">
        <v>14</v>
      </c>
      <c r="M318" s="38">
        <v>43008</v>
      </c>
      <c r="N318" s="48"/>
      <c r="O318" s="35">
        <v>22371</v>
      </c>
      <c r="P318" s="35"/>
      <c r="Q318" s="35"/>
      <c r="R318" s="35"/>
      <c r="S318" s="58"/>
      <c r="T318" s="58"/>
    </row>
    <row r="319" spans="1:20" s="15" customFormat="1" ht="26.25" customHeight="1" x14ac:dyDescent="0.2">
      <c r="A319" s="43" t="s">
        <v>618</v>
      </c>
      <c r="B319" s="46" t="s">
        <v>26</v>
      </c>
      <c r="C319" s="44" t="s">
        <v>636</v>
      </c>
      <c r="D319" s="54" t="s">
        <v>660</v>
      </c>
      <c r="E319" s="46" t="s">
        <v>635</v>
      </c>
      <c r="F319" s="35">
        <v>15000</v>
      </c>
      <c r="G319" s="35">
        <v>15000</v>
      </c>
      <c r="H319" s="35">
        <v>0</v>
      </c>
      <c r="I319" s="35">
        <f t="shared" si="8"/>
        <v>15000</v>
      </c>
      <c r="J319" s="36">
        <f t="shared" si="9"/>
        <v>0</v>
      </c>
      <c r="K319" s="48" t="s">
        <v>14</v>
      </c>
      <c r="L319" s="48" t="s">
        <v>14</v>
      </c>
      <c r="M319" s="38">
        <v>43281</v>
      </c>
      <c r="N319" s="48"/>
      <c r="O319" s="35">
        <v>15000</v>
      </c>
      <c r="P319" s="35"/>
      <c r="Q319" s="35"/>
      <c r="R319" s="35"/>
      <c r="S319" s="58"/>
      <c r="T319" s="58"/>
    </row>
    <row r="320" spans="1:20" s="15" customFormat="1" ht="26.25" customHeight="1" x14ac:dyDescent="0.2">
      <c r="A320" s="43" t="s">
        <v>630</v>
      </c>
      <c r="B320" s="46" t="s">
        <v>26</v>
      </c>
      <c r="C320" s="44" t="s">
        <v>636</v>
      </c>
      <c r="D320" s="54" t="s">
        <v>663</v>
      </c>
      <c r="E320" s="46" t="s">
        <v>655</v>
      </c>
      <c r="F320" s="35">
        <v>12500</v>
      </c>
      <c r="G320" s="35">
        <v>12500</v>
      </c>
      <c r="H320" s="35">
        <v>0</v>
      </c>
      <c r="I320" s="35">
        <f t="shared" si="8"/>
        <v>12500</v>
      </c>
      <c r="J320" s="36">
        <f t="shared" si="9"/>
        <v>0</v>
      </c>
      <c r="K320" s="48" t="s">
        <v>14</v>
      </c>
      <c r="L320" s="48" t="s">
        <v>14</v>
      </c>
      <c r="M320" s="38">
        <v>43281</v>
      </c>
      <c r="N320" s="48"/>
      <c r="O320" s="35">
        <v>12500</v>
      </c>
      <c r="P320" s="35"/>
      <c r="Q320" s="35"/>
      <c r="R320" s="35"/>
      <c r="S320" s="58"/>
      <c r="T320" s="58"/>
    </row>
    <row r="321" spans="1:20" s="15" customFormat="1" ht="26.25" customHeight="1" x14ac:dyDescent="0.2">
      <c r="A321" s="43" t="s">
        <v>418</v>
      </c>
      <c r="B321" s="46" t="s">
        <v>26</v>
      </c>
      <c r="C321" s="44" t="s">
        <v>425</v>
      </c>
      <c r="D321" s="47">
        <v>13460</v>
      </c>
      <c r="E321" s="46" t="s">
        <v>431</v>
      </c>
      <c r="F321" s="35">
        <v>25000</v>
      </c>
      <c r="G321" s="35">
        <v>25000</v>
      </c>
      <c r="H321" s="35">
        <v>0</v>
      </c>
      <c r="I321" s="35">
        <f t="shared" si="8"/>
        <v>25000</v>
      </c>
      <c r="J321" s="36">
        <f t="shared" si="9"/>
        <v>0</v>
      </c>
      <c r="K321" s="48" t="s">
        <v>14</v>
      </c>
      <c r="L321" s="48" t="s">
        <v>14</v>
      </c>
      <c r="M321" s="38">
        <v>42916</v>
      </c>
      <c r="N321" s="48"/>
      <c r="O321" s="35">
        <v>25000</v>
      </c>
      <c r="P321" s="35"/>
      <c r="Q321" s="35"/>
      <c r="R321" s="35"/>
      <c r="S321" s="58"/>
      <c r="T321" s="58"/>
    </row>
    <row r="322" spans="1:20" s="15" customFormat="1" ht="26.25" customHeight="1" x14ac:dyDescent="0.2">
      <c r="A322" s="43" t="s">
        <v>156</v>
      </c>
      <c r="B322" s="46" t="s">
        <v>26</v>
      </c>
      <c r="C322" s="44" t="s">
        <v>167</v>
      </c>
      <c r="D322" s="47">
        <v>12778</v>
      </c>
      <c r="E322" s="46" t="s">
        <v>173</v>
      </c>
      <c r="F322" s="35">
        <v>5200</v>
      </c>
      <c r="G322" s="35">
        <v>5200</v>
      </c>
      <c r="H322" s="35">
        <v>0</v>
      </c>
      <c r="I322" s="49">
        <f t="shared" ref="I322:I385" si="10">G322+H322</f>
        <v>5200</v>
      </c>
      <c r="J322" s="51">
        <f t="shared" ref="J322:J385" si="11">IF(G322=0,100%,(I322-G322)/G322)</f>
        <v>0</v>
      </c>
      <c r="K322" s="48" t="s">
        <v>14</v>
      </c>
      <c r="L322" s="48" t="s">
        <v>14</v>
      </c>
      <c r="M322" s="38">
        <v>43281</v>
      </c>
      <c r="N322" s="48"/>
      <c r="O322" s="35">
        <v>5200</v>
      </c>
      <c r="P322" s="41"/>
      <c r="Q322" s="41"/>
      <c r="R322" s="41"/>
      <c r="S322" s="58"/>
      <c r="T322" s="58"/>
    </row>
    <row r="323" spans="1:20" s="15" customFormat="1" ht="26.25" customHeight="1" x14ac:dyDescent="0.2">
      <c r="A323" s="43" t="s">
        <v>184</v>
      </c>
      <c r="B323" s="46" t="s">
        <v>26</v>
      </c>
      <c r="C323" s="44" t="s">
        <v>27</v>
      </c>
      <c r="D323" s="54" t="s">
        <v>209</v>
      </c>
      <c r="E323" s="46" t="s">
        <v>210</v>
      </c>
      <c r="F323" s="35">
        <v>95000</v>
      </c>
      <c r="G323" s="35">
        <v>95000</v>
      </c>
      <c r="H323" s="35">
        <v>0</v>
      </c>
      <c r="I323" s="35">
        <f t="shared" si="10"/>
        <v>95000</v>
      </c>
      <c r="J323" s="36">
        <f t="shared" si="11"/>
        <v>0</v>
      </c>
      <c r="K323" s="48" t="s">
        <v>14</v>
      </c>
      <c r="L323" s="48" t="s">
        <v>14</v>
      </c>
      <c r="M323" s="38">
        <v>42916</v>
      </c>
      <c r="N323" s="48"/>
      <c r="O323" s="41">
        <v>95000</v>
      </c>
      <c r="P323" s="41"/>
      <c r="Q323" s="41"/>
      <c r="R323" s="41"/>
      <c r="S323" s="58"/>
      <c r="T323" s="58"/>
    </row>
    <row r="324" spans="1:20" s="15" customFormat="1" ht="26.25" customHeight="1" x14ac:dyDescent="0.2">
      <c r="A324" s="43" t="s">
        <v>286</v>
      </c>
      <c r="B324" s="46" t="s">
        <v>26</v>
      </c>
      <c r="C324" s="44" t="s">
        <v>27</v>
      </c>
      <c r="D324" s="54" t="s">
        <v>294</v>
      </c>
      <c r="E324" s="46" t="s">
        <v>79</v>
      </c>
      <c r="F324" s="35">
        <v>99000</v>
      </c>
      <c r="G324" s="35">
        <v>5000</v>
      </c>
      <c r="H324" s="35">
        <f>50000+99000</f>
        <v>149000</v>
      </c>
      <c r="I324" s="35">
        <f t="shared" si="10"/>
        <v>154000</v>
      </c>
      <c r="J324" s="36">
        <f t="shared" si="11"/>
        <v>29.8</v>
      </c>
      <c r="K324" s="48" t="s">
        <v>14</v>
      </c>
      <c r="L324" s="48" t="s">
        <v>14</v>
      </c>
      <c r="M324" s="38">
        <v>42916</v>
      </c>
      <c r="N324" s="48" t="s">
        <v>28</v>
      </c>
      <c r="O324" s="35">
        <v>99000</v>
      </c>
      <c r="P324" s="35"/>
      <c r="Q324" s="35"/>
      <c r="R324" s="35"/>
      <c r="S324" s="58"/>
      <c r="T324" s="58"/>
    </row>
    <row r="325" spans="1:20" s="15" customFormat="1" ht="26.25" customHeight="1" x14ac:dyDescent="0.2">
      <c r="A325" s="43" t="s">
        <v>679</v>
      </c>
      <c r="B325" s="46" t="s">
        <v>26</v>
      </c>
      <c r="C325" s="44" t="s">
        <v>27</v>
      </c>
      <c r="D325" s="54" t="s">
        <v>685</v>
      </c>
      <c r="E325" s="46" t="s">
        <v>682</v>
      </c>
      <c r="F325" s="35">
        <v>65000</v>
      </c>
      <c r="G325" s="35">
        <f>5000+50000+44000+34000</f>
        <v>133000</v>
      </c>
      <c r="H325" s="35">
        <v>65000</v>
      </c>
      <c r="I325" s="35">
        <f t="shared" si="10"/>
        <v>198000</v>
      </c>
      <c r="J325" s="36">
        <f t="shared" si="11"/>
        <v>0.48872180451127817</v>
      </c>
      <c r="K325" s="48" t="s">
        <v>14</v>
      </c>
      <c r="L325" s="48" t="s">
        <v>14</v>
      </c>
      <c r="M325" s="38">
        <v>43281</v>
      </c>
      <c r="N325" s="48" t="s">
        <v>28</v>
      </c>
      <c r="O325" s="35">
        <v>65000</v>
      </c>
      <c r="P325" s="35"/>
      <c r="Q325" s="35"/>
      <c r="R325" s="35"/>
      <c r="S325" s="58"/>
      <c r="T325" s="58"/>
    </row>
    <row r="326" spans="1:20" s="15" customFormat="1" ht="26.25" customHeight="1" x14ac:dyDescent="0.2">
      <c r="A326" s="43" t="s">
        <v>733</v>
      </c>
      <c r="B326" s="46" t="s">
        <v>26</v>
      </c>
      <c r="C326" s="44" t="s">
        <v>740</v>
      </c>
      <c r="D326" s="54" t="s">
        <v>744</v>
      </c>
      <c r="E326" s="46" t="s">
        <v>748</v>
      </c>
      <c r="F326" s="35">
        <v>25000</v>
      </c>
      <c r="G326" s="35">
        <v>50000</v>
      </c>
      <c r="H326" s="35">
        <v>25000</v>
      </c>
      <c r="I326" s="35">
        <f t="shared" si="10"/>
        <v>75000</v>
      </c>
      <c r="J326" s="36">
        <f t="shared" si="11"/>
        <v>0.5</v>
      </c>
      <c r="K326" s="48" t="s">
        <v>14</v>
      </c>
      <c r="L326" s="48" t="s">
        <v>14</v>
      </c>
      <c r="M326" s="38">
        <v>43281</v>
      </c>
      <c r="N326" s="48" t="s">
        <v>28</v>
      </c>
      <c r="O326" s="35">
        <v>25000</v>
      </c>
      <c r="P326" s="35"/>
      <c r="Q326" s="35"/>
      <c r="R326" s="35"/>
      <c r="S326" s="58"/>
      <c r="T326" s="58"/>
    </row>
    <row r="327" spans="1:20" s="15" customFormat="1" ht="26.25" customHeight="1" x14ac:dyDescent="0.2">
      <c r="A327" s="43" t="s">
        <v>183</v>
      </c>
      <c r="B327" s="46" t="s">
        <v>26</v>
      </c>
      <c r="C327" s="44" t="s">
        <v>55</v>
      </c>
      <c r="D327" s="54" t="s">
        <v>208</v>
      </c>
      <c r="E327" s="46" t="s">
        <v>53</v>
      </c>
      <c r="F327" s="35">
        <v>50000</v>
      </c>
      <c r="G327" s="35">
        <v>5000</v>
      </c>
      <c r="H327" s="35">
        <f>94000+50000</f>
        <v>144000</v>
      </c>
      <c r="I327" s="35">
        <f t="shared" si="10"/>
        <v>149000</v>
      </c>
      <c r="J327" s="36">
        <f t="shared" si="11"/>
        <v>28.8</v>
      </c>
      <c r="K327" s="48" t="s">
        <v>14</v>
      </c>
      <c r="L327" s="48" t="s">
        <v>14</v>
      </c>
      <c r="M327" s="38">
        <v>42551</v>
      </c>
      <c r="N327" s="48" t="s">
        <v>28</v>
      </c>
      <c r="O327" s="41">
        <v>50000</v>
      </c>
      <c r="P327" s="41"/>
      <c r="Q327" s="41"/>
      <c r="R327" s="41"/>
      <c r="S327" s="58"/>
      <c r="T327" s="58"/>
    </row>
    <row r="328" spans="1:20" s="15" customFormat="1" ht="26.25" customHeight="1" x14ac:dyDescent="0.2">
      <c r="A328" s="43" t="s">
        <v>940</v>
      </c>
      <c r="B328" s="46" t="s">
        <v>26</v>
      </c>
      <c r="C328" s="44" t="s">
        <v>55</v>
      </c>
      <c r="D328" s="54" t="s">
        <v>961</v>
      </c>
      <c r="E328" s="46" t="s">
        <v>967</v>
      </c>
      <c r="F328" s="35">
        <f>10000*3</f>
        <v>30000</v>
      </c>
      <c r="G328" s="35">
        <v>99000</v>
      </c>
      <c r="H328" s="35">
        <f>1120650+50000+10000*3</f>
        <v>1200650</v>
      </c>
      <c r="I328" s="35">
        <f t="shared" si="10"/>
        <v>1299650</v>
      </c>
      <c r="J328" s="36">
        <f t="shared" si="11"/>
        <v>12.127777777777778</v>
      </c>
      <c r="K328" s="48" t="s">
        <v>14</v>
      </c>
      <c r="L328" s="48" t="s">
        <v>14</v>
      </c>
      <c r="M328" s="38">
        <v>43281</v>
      </c>
      <c r="N328" s="48" t="s">
        <v>28</v>
      </c>
      <c r="O328" s="35">
        <v>10000</v>
      </c>
      <c r="P328" s="35"/>
      <c r="Q328" s="35">
        <v>10000</v>
      </c>
      <c r="R328" s="35">
        <v>10000</v>
      </c>
      <c r="S328" s="58"/>
      <c r="T328" s="58"/>
    </row>
    <row r="329" spans="1:20" s="15" customFormat="1" ht="26.25" customHeight="1" x14ac:dyDescent="0.2">
      <c r="A329" s="43" t="s">
        <v>196</v>
      </c>
      <c r="B329" s="46" t="s">
        <v>26</v>
      </c>
      <c r="C329" s="44" t="s">
        <v>66</v>
      </c>
      <c r="D329" s="54">
        <v>13050</v>
      </c>
      <c r="E329" s="46" t="s">
        <v>67</v>
      </c>
      <c r="F329" s="35">
        <v>99000</v>
      </c>
      <c r="G329" s="40">
        <v>40000</v>
      </c>
      <c r="H329" s="35">
        <f>35100+27000+50000+99000</f>
        <v>211100</v>
      </c>
      <c r="I329" s="35">
        <f t="shared" si="10"/>
        <v>251100</v>
      </c>
      <c r="J329" s="36">
        <f t="shared" si="11"/>
        <v>5.2774999999999999</v>
      </c>
      <c r="K329" s="48" t="s">
        <v>14</v>
      </c>
      <c r="L329" s="48" t="s">
        <v>14</v>
      </c>
      <c r="M329" s="38">
        <v>42916</v>
      </c>
      <c r="N329" s="48" t="s">
        <v>28</v>
      </c>
      <c r="O329" s="35">
        <v>99000</v>
      </c>
      <c r="P329" s="35"/>
      <c r="Q329" s="35"/>
      <c r="R329" s="35"/>
      <c r="S329" s="58"/>
      <c r="T329" s="58"/>
    </row>
    <row r="330" spans="1:20" s="15" customFormat="1" ht="26.25" customHeight="1" x14ac:dyDescent="0.2">
      <c r="A330" s="43" t="s">
        <v>242</v>
      </c>
      <c r="B330" s="46" t="s">
        <v>26</v>
      </c>
      <c r="C330" s="44" t="s">
        <v>52</v>
      </c>
      <c r="D330" s="47">
        <v>13160</v>
      </c>
      <c r="E330" s="46" t="s">
        <v>278</v>
      </c>
      <c r="F330" s="35">
        <v>45000</v>
      </c>
      <c r="G330" s="35">
        <v>45000</v>
      </c>
      <c r="H330" s="35">
        <v>0</v>
      </c>
      <c r="I330" s="35">
        <f t="shared" si="10"/>
        <v>45000</v>
      </c>
      <c r="J330" s="36">
        <f t="shared" si="11"/>
        <v>0</v>
      </c>
      <c r="K330" s="48" t="s">
        <v>14</v>
      </c>
      <c r="L330" s="48" t="s">
        <v>14</v>
      </c>
      <c r="M330" s="38">
        <v>42916</v>
      </c>
      <c r="N330" s="48"/>
      <c r="O330" s="35">
        <v>45000</v>
      </c>
      <c r="P330" s="35"/>
      <c r="Q330" s="35"/>
      <c r="R330" s="35"/>
      <c r="S330" s="58"/>
      <c r="T330" s="58"/>
    </row>
    <row r="331" spans="1:20" s="15" customFormat="1" ht="26.25" customHeight="1" x14ac:dyDescent="0.2">
      <c r="A331" s="43" t="s">
        <v>470</v>
      </c>
      <c r="B331" s="46" t="s">
        <v>26</v>
      </c>
      <c r="C331" s="44" t="s">
        <v>482</v>
      </c>
      <c r="D331" s="47">
        <v>13494</v>
      </c>
      <c r="E331" s="46" t="s">
        <v>496</v>
      </c>
      <c r="F331" s="35">
        <v>30000</v>
      </c>
      <c r="G331" s="35">
        <v>30000</v>
      </c>
      <c r="H331" s="35">
        <v>0</v>
      </c>
      <c r="I331" s="35">
        <f t="shared" si="10"/>
        <v>30000</v>
      </c>
      <c r="J331" s="36">
        <f t="shared" si="11"/>
        <v>0</v>
      </c>
      <c r="K331" s="48" t="s">
        <v>14</v>
      </c>
      <c r="L331" s="48" t="s">
        <v>14</v>
      </c>
      <c r="M331" s="38">
        <v>42916</v>
      </c>
      <c r="N331" s="48"/>
      <c r="O331" s="35">
        <v>30000</v>
      </c>
      <c r="P331" s="35"/>
      <c r="Q331" s="35"/>
      <c r="R331" s="35"/>
      <c r="S331" s="58"/>
      <c r="T331" s="58"/>
    </row>
    <row r="332" spans="1:20" s="15" customFormat="1" ht="26.25" customHeight="1" x14ac:dyDescent="0.2">
      <c r="A332" s="43" t="s">
        <v>444</v>
      </c>
      <c r="B332" s="46" t="s">
        <v>26</v>
      </c>
      <c r="C332" s="44" t="s">
        <v>450</v>
      </c>
      <c r="D332" s="47">
        <v>13530</v>
      </c>
      <c r="E332" s="46" t="s">
        <v>456</v>
      </c>
      <c r="F332" s="35">
        <v>99000</v>
      </c>
      <c r="G332" s="35">
        <v>99000</v>
      </c>
      <c r="H332" s="35">
        <v>0</v>
      </c>
      <c r="I332" s="35">
        <f t="shared" si="10"/>
        <v>99000</v>
      </c>
      <c r="J332" s="36">
        <f t="shared" si="11"/>
        <v>0</v>
      </c>
      <c r="K332" s="48" t="s">
        <v>14</v>
      </c>
      <c r="L332" s="48" t="s">
        <v>14</v>
      </c>
      <c r="M332" s="38">
        <v>43281</v>
      </c>
      <c r="N332" s="48"/>
      <c r="O332" s="35">
        <v>99000</v>
      </c>
      <c r="P332" s="35"/>
      <c r="Q332" s="35"/>
      <c r="R332" s="35"/>
      <c r="S332" s="58"/>
      <c r="T332" s="58"/>
    </row>
    <row r="333" spans="1:20" s="15" customFormat="1" ht="26.25" customHeight="1" x14ac:dyDescent="0.2">
      <c r="A333" s="43" t="s">
        <v>368</v>
      </c>
      <c r="B333" s="46" t="s">
        <v>26</v>
      </c>
      <c r="C333" s="44" t="s">
        <v>63</v>
      </c>
      <c r="D333" s="54" t="s">
        <v>378</v>
      </c>
      <c r="E333" s="46" t="s">
        <v>383</v>
      </c>
      <c r="F333" s="35">
        <v>30000</v>
      </c>
      <c r="G333" s="40">
        <v>5000</v>
      </c>
      <c r="H333" s="35">
        <f>30000+25000+35000+10000+50000+39000+30000</f>
        <v>219000</v>
      </c>
      <c r="I333" s="35">
        <f t="shared" si="10"/>
        <v>224000</v>
      </c>
      <c r="J333" s="36">
        <f t="shared" si="11"/>
        <v>43.8</v>
      </c>
      <c r="K333" s="48" t="s">
        <v>14</v>
      </c>
      <c r="L333" s="48" t="s">
        <v>14</v>
      </c>
      <c r="M333" s="38">
        <v>42916</v>
      </c>
      <c r="N333" s="48" t="s">
        <v>28</v>
      </c>
      <c r="O333" s="35">
        <v>30000</v>
      </c>
      <c r="P333" s="35"/>
      <c r="Q333" s="35"/>
      <c r="R333" s="35"/>
      <c r="S333" s="58"/>
      <c r="T333" s="58"/>
    </row>
    <row r="334" spans="1:20" s="15" customFormat="1" ht="26.25" customHeight="1" x14ac:dyDescent="0.2">
      <c r="A334" s="43" t="s">
        <v>620</v>
      </c>
      <c r="B334" s="46" t="s">
        <v>634</v>
      </c>
      <c r="C334" s="44" t="s">
        <v>638</v>
      </c>
      <c r="D334" s="47">
        <v>13749</v>
      </c>
      <c r="E334" s="46" t="s">
        <v>647</v>
      </c>
      <c r="F334" s="35">
        <v>10500</v>
      </c>
      <c r="G334" s="35">
        <v>10500</v>
      </c>
      <c r="H334" s="35">
        <v>0</v>
      </c>
      <c r="I334" s="35">
        <f t="shared" si="10"/>
        <v>10500</v>
      </c>
      <c r="J334" s="36">
        <f t="shared" si="11"/>
        <v>0</v>
      </c>
      <c r="K334" s="48" t="s">
        <v>14</v>
      </c>
      <c r="L334" s="48" t="s">
        <v>14</v>
      </c>
      <c r="M334" s="38">
        <v>42706</v>
      </c>
      <c r="N334" s="48"/>
      <c r="O334" s="35">
        <v>10500</v>
      </c>
      <c r="P334" s="35"/>
      <c r="Q334" s="35"/>
      <c r="R334" s="35"/>
      <c r="S334" s="58"/>
      <c r="T334" s="58"/>
    </row>
    <row r="335" spans="1:20" s="15" customFormat="1" ht="26.25" customHeight="1" x14ac:dyDescent="0.2">
      <c r="A335" s="43" t="s">
        <v>1116</v>
      </c>
      <c r="B335" s="46" t="s">
        <v>474</v>
      </c>
      <c r="C335" s="44" t="s">
        <v>1121</v>
      </c>
      <c r="D335" s="47">
        <v>14663</v>
      </c>
      <c r="E335" s="46" t="s">
        <v>1126</v>
      </c>
      <c r="F335" s="35">
        <v>30000</v>
      </c>
      <c r="G335" s="35">
        <v>30000</v>
      </c>
      <c r="H335" s="35">
        <v>0</v>
      </c>
      <c r="I335" s="35">
        <f t="shared" si="10"/>
        <v>30000</v>
      </c>
      <c r="J335" s="36">
        <f t="shared" si="11"/>
        <v>0</v>
      </c>
      <c r="K335" s="48" t="s">
        <v>14</v>
      </c>
      <c r="L335" s="48" t="s">
        <v>14</v>
      </c>
      <c r="M335" s="38">
        <v>43281</v>
      </c>
      <c r="N335" s="48"/>
      <c r="O335" s="35">
        <v>30000</v>
      </c>
      <c r="P335" s="35"/>
      <c r="Q335" s="35"/>
      <c r="R335" s="35"/>
      <c r="S335" s="58"/>
      <c r="T335" s="58"/>
    </row>
    <row r="336" spans="1:20" s="15" customFormat="1" ht="26.25" customHeight="1" x14ac:dyDescent="0.2">
      <c r="A336" s="43" t="s">
        <v>689</v>
      </c>
      <c r="B336" s="46" t="s">
        <v>474</v>
      </c>
      <c r="C336" s="44" t="s">
        <v>694</v>
      </c>
      <c r="D336" s="54" t="s">
        <v>697</v>
      </c>
      <c r="E336" s="46" t="s">
        <v>700</v>
      </c>
      <c r="F336" s="35">
        <v>44500</v>
      </c>
      <c r="G336" s="35">
        <v>44500</v>
      </c>
      <c r="H336" s="35">
        <v>0</v>
      </c>
      <c r="I336" s="35">
        <f t="shared" si="10"/>
        <v>44500</v>
      </c>
      <c r="J336" s="36">
        <f t="shared" si="11"/>
        <v>0</v>
      </c>
      <c r="K336" s="48" t="s">
        <v>14</v>
      </c>
      <c r="L336" s="48" t="s">
        <v>14</v>
      </c>
      <c r="M336" s="38">
        <v>42916</v>
      </c>
      <c r="N336" s="48"/>
      <c r="O336" s="35">
        <v>44500</v>
      </c>
      <c r="P336" s="35"/>
      <c r="Q336" s="35"/>
      <c r="R336" s="35"/>
      <c r="S336" s="58"/>
      <c r="T336" s="58"/>
    </row>
    <row r="337" spans="1:20" s="15" customFormat="1" ht="26.25" customHeight="1" x14ac:dyDescent="0.2">
      <c r="A337" s="43" t="s">
        <v>468</v>
      </c>
      <c r="B337" s="46" t="s">
        <v>474</v>
      </c>
      <c r="C337" s="44" t="s">
        <v>480</v>
      </c>
      <c r="D337" s="47">
        <v>13521</v>
      </c>
      <c r="E337" s="46" t="s">
        <v>494</v>
      </c>
      <c r="F337" s="35">
        <v>49900</v>
      </c>
      <c r="G337" s="35">
        <v>49900</v>
      </c>
      <c r="H337" s="35">
        <v>0</v>
      </c>
      <c r="I337" s="35">
        <f t="shared" si="10"/>
        <v>49900</v>
      </c>
      <c r="J337" s="36">
        <f t="shared" si="11"/>
        <v>0</v>
      </c>
      <c r="K337" s="48" t="s">
        <v>14</v>
      </c>
      <c r="L337" s="48" t="s">
        <v>15</v>
      </c>
      <c r="M337" s="38">
        <v>43069</v>
      </c>
      <c r="N337" s="48"/>
      <c r="O337" s="35">
        <v>49900</v>
      </c>
      <c r="P337" s="35"/>
      <c r="Q337" s="35"/>
      <c r="R337" s="35"/>
      <c r="S337" s="58"/>
      <c r="T337" s="58"/>
    </row>
    <row r="338" spans="1:20" s="15" customFormat="1" ht="26.25" customHeight="1" x14ac:dyDescent="0.2">
      <c r="A338" s="43" t="s">
        <v>938</v>
      </c>
      <c r="B338" s="46" t="s">
        <v>214</v>
      </c>
      <c r="C338" s="44" t="s">
        <v>955</v>
      </c>
      <c r="D338" s="47">
        <v>14330</v>
      </c>
      <c r="E338" s="46" t="s">
        <v>965</v>
      </c>
      <c r="F338" s="35">
        <f>68308+50000</f>
        <v>118308</v>
      </c>
      <c r="G338" s="35">
        <f>68308+50000</f>
        <v>118308</v>
      </c>
      <c r="H338" s="35">
        <v>0</v>
      </c>
      <c r="I338" s="35">
        <f t="shared" si="10"/>
        <v>118308</v>
      </c>
      <c r="J338" s="36">
        <f t="shared" si="11"/>
        <v>0</v>
      </c>
      <c r="K338" s="48" t="s">
        <v>14</v>
      </c>
      <c r="L338" s="48" t="s">
        <v>14</v>
      </c>
      <c r="M338" s="38">
        <v>43931</v>
      </c>
      <c r="N338" s="48" t="s">
        <v>18</v>
      </c>
      <c r="O338" s="35">
        <v>68308</v>
      </c>
      <c r="P338" s="35"/>
      <c r="Q338" s="35"/>
      <c r="R338" s="35">
        <v>50000</v>
      </c>
      <c r="S338" s="58"/>
      <c r="T338" s="58"/>
    </row>
    <row r="339" spans="1:20" s="15" customFormat="1" ht="26.25" customHeight="1" x14ac:dyDescent="0.2">
      <c r="A339" s="43" t="s">
        <v>550</v>
      </c>
      <c r="B339" s="46" t="s">
        <v>214</v>
      </c>
      <c r="C339" s="44" t="s">
        <v>561</v>
      </c>
      <c r="D339" s="47">
        <v>13685</v>
      </c>
      <c r="E339" s="46" t="s">
        <v>563</v>
      </c>
      <c r="F339" s="35">
        <f>15000*3</f>
        <v>45000</v>
      </c>
      <c r="G339" s="35">
        <f>15000*3</f>
        <v>45000</v>
      </c>
      <c r="H339" s="35">
        <v>0</v>
      </c>
      <c r="I339" s="35">
        <f t="shared" si="10"/>
        <v>45000</v>
      </c>
      <c r="J339" s="36">
        <f t="shared" si="11"/>
        <v>0</v>
      </c>
      <c r="K339" s="48" t="s">
        <v>14</v>
      </c>
      <c r="L339" s="48" t="s">
        <v>15</v>
      </c>
      <c r="M339" s="38">
        <v>43465</v>
      </c>
      <c r="N339" s="48" t="s">
        <v>18</v>
      </c>
      <c r="O339" s="35">
        <v>15000</v>
      </c>
      <c r="P339" s="35">
        <v>15000</v>
      </c>
      <c r="Q339" s="35">
        <v>15000</v>
      </c>
      <c r="R339" s="35"/>
      <c r="S339" s="58"/>
      <c r="T339" s="58"/>
    </row>
    <row r="340" spans="1:20" s="15" customFormat="1" ht="26.25" customHeight="1" x14ac:dyDescent="0.2">
      <c r="A340" s="43" t="s">
        <v>930</v>
      </c>
      <c r="B340" s="46" t="s">
        <v>214</v>
      </c>
      <c r="C340" s="44" t="s">
        <v>534</v>
      </c>
      <c r="D340" s="47">
        <v>14084</v>
      </c>
      <c r="E340" s="46" t="s">
        <v>949</v>
      </c>
      <c r="F340" s="35">
        <v>7500</v>
      </c>
      <c r="G340" s="35">
        <v>7500</v>
      </c>
      <c r="H340" s="35"/>
      <c r="I340" s="35">
        <f t="shared" si="10"/>
        <v>7500</v>
      </c>
      <c r="J340" s="36">
        <f t="shared" si="11"/>
        <v>0</v>
      </c>
      <c r="K340" s="48" t="s">
        <v>14</v>
      </c>
      <c r="L340" s="48" t="s">
        <v>14</v>
      </c>
      <c r="M340" s="38">
        <v>42886</v>
      </c>
      <c r="N340" s="48"/>
      <c r="O340" s="35">
        <v>7500</v>
      </c>
      <c r="P340" s="35"/>
      <c r="Q340" s="35"/>
      <c r="R340" s="35"/>
      <c r="S340" s="58"/>
      <c r="T340" s="58"/>
    </row>
    <row r="341" spans="1:20" s="15" customFormat="1" ht="26.25" customHeight="1" x14ac:dyDescent="0.2">
      <c r="A341" s="43" t="s">
        <v>212</v>
      </c>
      <c r="B341" s="46" t="s">
        <v>214</v>
      </c>
      <c r="C341" s="44" t="s">
        <v>215</v>
      </c>
      <c r="D341" s="34">
        <v>13121</v>
      </c>
      <c r="E341" s="46" t="s">
        <v>230</v>
      </c>
      <c r="F341" s="35">
        <f>92920*2</f>
        <v>185840</v>
      </c>
      <c r="G341" s="35">
        <f>92920*2</f>
        <v>185840</v>
      </c>
      <c r="H341" s="35">
        <v>0</v>
      </c>
      <c r="I341" s="35">
        <f t="shared" si="10"/>
        <v>185840</v>
      </c>
      <c r="J341" s="36">
        <f t="shared" si="11"/>
        <v>0</v>
      </c>
      <c r="K341" s="48" t="s">
        <v>14</v>
      </c>
      <c r="L341" s="48" t="s">
        <v>14</v>
      </c>
      <c r="M341" s="38">
        <v>42958</v>
      </c>
      <c r="N341" s="48" t="s">
        <v>18</v>
      </c>
      <c r="O341" s="35">
        <v>92920</v>
      </c>
      <c r="P341" s="35">
        <v>92920</v>
      </c>
      <c r="Q341" s="35"/>
      <c r="R341" s="35"/>
      <c r="S341" s="58"/>
      <c r="T341" s="58"/>
    </row>
    <row r="342" spans="1:20" s="15" customFormat="1" ht="26.25" customHeight="1" x14ac:dyDescent="0.2">
      <c r="A342" s="43" t="s">
        <v>473</v>
      </c>
      <c r="B342" s="46" t="s">
        <v>214</v>
      </c>
      <c r="C342" s="44" t="s">
        <v>485</v>
      </c>
      <c r="D342" s="47">
        <v>13619</v>
      </c>
      <c r="E342" s="46" t="s">
        <v>499</v>
      </c>
      <c r="F342" s="35">
        <f>21840*3</f>
        <v>65520</v>
      </c>
      <c r="G342" s="35">
        <f>21840*3</f>
        <v>65520</v>
      </c>
      <c r="H342" s="35">
        <v>0</v>
      </c>
      <c r="I342" s="35">
        <f t="shared" si="10"/>
        <v>65520</v>
      </c>
      <c r="J342" s="36">
        <f t="shared" si="11"/>
        <v>0</v>
      </c>
      <c r="K342" s="48" t="s">
        <v>15</v>
      </c>
      <c r="L342" s="48" t="s">
        <v>15</v>
      </c>
      <c r="M342" s="38">
        <v>43070</v>
      </c>
      <c r="N342" s="48" t="s">
        <v>18</v>
      </c>
      <c r="O342" s="35">
        <v>21840</v>
      </c>
      <c r="P342" s="35">
        <v>21840</v>
      </c>
      <c r="Q342" s="35">
        <v>21840</v>
      </c>
      <c r="R342" s="35"/>
      <c r="S342" s="58"/>
      <c r="T342" s="58"/>
    </row>
    <row r="343" spans="1:20" s="15" customFormat="1" ht="26.25" customHeight="1" x14ac:dyDescent="0.2">
      <c r="A343" s="43" t="s">
        <v>543</v>
      </c>
      <c r="B343" s="46" t="s">
        <v>214</v>
      </c>
      <c r="C343" s="44" t="s">
        <v>554</v>
      </c>
      <c r="D343" s="47">
        <v>13641</v>
      </c>
      <c r="E343" s="46" t="s">
        <v>563</v>
      </c>
      <c r="F343" s="35">
        <f>15000*3</f>
        <v>45000</v>
      </c>
      <c r="G343" s="35">
        <f>15000*3</f>
        <v>45000</v>
      </c>
      <c r="H343" s="35">
        <v>0</v>
      </c>
      <c r="I343" s="35">
        <f t="shared" si="10"/>
        <v>45000</v>
      </c>
      <c r="J343" s="36">
        <f t="shared" si="11"/>
        <v>0</v>
      </c>
      <c r="K343" s="48" t="s">
        <v>14</v>
      </c>
      <c r="L343" s="48" t="s">
        <v>15</v>
      </c>
      <c r="M343" s="38">
        <v>43465</v>
      </c>
      <c r="N343" s="48" t="s">
        <v>18</v>
      </c>
      <c r="O343" s="35">
        <v>15000</v>
      </c>
      <c r="P343" s="35">
        <v>15000</v>
      </c>
      <c r="Q343" s="35">
        <v>15000</v>
      </c>
      <c r="R343" s="35"/>
      <c r="S343" s="58"/>
      <c r="T343" s="58"/>
    </row>
    <row r="344" spans="1:20" s="15" customFormat="1" ht="26.25" customHeight="1" x14ac:dyDescent="0.2">
      <c r="A344" s="43" t="s">
        <v>549</v>
      </c>
      <c r="B344" s="46" t="s">
        <v>214</v>
      </c>
      <c r="C344" s="44" t="s">
        <v>560</v>
      </c>
      <c r="D344" s="47">
        <v>13684</v>
      </c>
      <c r="E344" s="46" t="s">
        <v>563</v>
      </c>
      <c r="F344" s="35">
        <f>15000*3</f>
        <v>45000</v>
      </c>
      <c r="G344" s="35">
        <f>15000*3</f>
        <v>45000</v>
      </c>
      <c r="H344" s="35">
        <v>0</v>
      </c>
      <c r="I344" s="35">
        <f t="shared" si="10"/>
        <v>45000</v>
      </c>
      <c r="J344" s="36">
        <f t="shared" si="11"/>
        <v>0</v>
      </c>
      <c r="K344" s="48" t="s">
        <v>14</v>
      </c>
      <c r="L344" s="48" t="s">
        <v>15</v>
      </c>
      <c r="M344" s="38">
        <v>43465</v>
      </c>
      <c r="N344" s="48" t="s">
        <v>18</v>
      </c>
      <c r="O344" s="35">
        <v>15000</v>
      </c>
      <c r="P344" s="35">
        <v>15000</v>
      </c>
      <c r="Q344" s="35">
        <v>15000</v>
      </c>
      <c r="R344" s="35"/>
      <c r="S344" s="58"/>
      <c r="T344" s="58"/>
    </row>
    <row r="345" spans="1:20" s="15" customFormat="1" ht="26.25" customHeight="1" x14ac:dyDescent="0.2">
      <c r="A345" s="43" t="s">
        <v>548</v>
      </c>
      <c r="B345" s="46" t="s">
        <v>214</v>
      </c>
      <c r="C345" s="44" t="s">
        <v>559</v>
      </c>
      <c r="D345" s="47">
        <v>13682</v>
      </c>
      <c r="E345" s="46" t="s">
        <v>568</v>
      </c>
      <c r="F345" s="35">
        <f>29000*3</f>
        <v>87000</v>
      </c>
      <c r="G345" s="35">
        <f>29000*3</f>
        <v>87000</v>
      </c>
      <c r="H345" s="35">
        <v>0</v>
      </c>
      <c r="I345" s="35">
        <f t="shared" si="10"/>
        <v>87000</v>
      </c>
      <c r="J345" s="36">
        <f t="shared" si="11"/>
        <v>0</v>
      </c>
      <c r="K345" s="48" t="s">
        <v>14</v>
      </c>
      <c r="L345" s="48" t="s">
        <v>15</v>
      </c>
      <c r="M345" s="38">
        <v>43465</v>
      </c>
      <c r="N345" s="48" t="s">
        <v>18</v>
      </c>
      <c r="O345" s="35">
        <v>29000</v>
      </c>
      <c r="P345" s="35">
        <v>29000</v>
      </c>
      <c r="Q345" s="35">
        <v>29000</v>
      </c>
      <c r="R345" s="35"/>
      <c r="S345" s="58"/>
      <c r="T345" s="58"/>
    </row>
    <row r="346" spans="1:20" s="15" customFormat="1" ht="26.25" customHeight="1" x14ac:dyDescent="0.2">
      <c r="A346" s="43" t="s">
        <v>631</v>
      </c>
      <c r="B346" s="46" t="s">
        <v>214</v>
      </c>
      <c r="C346" s="44" t="s">
        <v>644</v>
      </c>
      <c r="D346" s="47">
        <v>13829</v>
      </c>
      <c r="E346" s="46" t="s">
        <v>656</v>
      </c>
      <c r="F346" s="35">
        <v>45830</v>
      </c>
      <c r="G346" s="35">
        <v>45830</v>
      </c>
      <c r="H346" s="35">
        <v>0</v>
      </c>
      <c r="I346" s="35">
        <f t="shared" si="10"/>
        <v>45830</v>
      </c>
      <c r="J346" s="36">
        <f t="shared" si="11"/>
        <v>0</v>
      </c>
      <c r="K346" s="48" t="s">
        <v>15</v>
      </c>
      <c r="L346" s="48" t="s">
        <v>15</v>
      </c>
      <c r="M346" s="38">
        <v>43312</v>
      </c>
      <c r="N346" s="48"/>
      <c r="O346" s="35">
        <v>45830</v>
      </c>
      <c r="P346" s="35"/>
      <c r="Q346" s="35"/>
      <c r="R346" s="35"/>
      <c r="S346" s="58"/>
      <c r="T346" s="58"/>
    </row>
    <row r="347" spans="1:20" s="15" customFormat="1" ht="26.25" customHeight="1" x14ac:dyDescent="0.2">
      <c r="A347" s="43" t="s">
        <v>706</v>
      </c>
      <c r="B347" s="46" t="s">
        <v>214</v>
      </c>
      <c r="C347" s="44" t="s">
        <v>715</v>
      </c>
      <c r="D347" s="47">
        <v>13859</v>
      </c>
      <c r="E347" s="46" t="s">
        <v>723</v>
      </c>
      <c r="F347" s="35">
        <v>49000</v>
      </c>
      <c r="G347" s="35">
        <v>49000</v>
      </c>
      <c r="H347" s="35">
        <v>0</v>
      </c>
      <c r="I347" s="35">
        <f t="shared" si="10"/>
        <v>49000</v>
      </c>
      <c r="J347" s="36">
        <f t="shared" si="11"/>
        <v>0</v>
      </c>
      <c r="K347" s="48" t="s">
        <v>14</v>
      </c>
      <c r="L347" s="48" t="s">
        <v>14</v>
      </c>
      <c r="M347" s="38">
        <v>43100</v>
      </c>
      <c r="N347" s="48"/>
      <c r="O347" s="35">
        <v>49000</v>
      </c>
      <c r="P347" s="35"/>
      <c r="Q347" s="35"/>
      <c r="R347" s="35"/>
      <c r="S347" s="58"/>
      <c r="T347" s="58"/>
    </row>
    <row r="348" spans="1:20" s="15" customFormat="1" ht="26.25" customHeight="1" x14ac:dyDescent="0.2">
      <c r="A348" s="43" t="s">
        <v>1135</v>
      </c>
      <c r="B348" s="46" t="s">
        <v>36</v>
      </c>
      <c r="C348" s="44" t="s">
        <v>1141</v>
      </c>
      <c r="D348" s="47">
        <v>14817</v>
      </c>
      <c r="E348" s="46" t="s">
        <v>1145</v>
      </c>
      <c r="F348" s="35">
        <f>30656*3</f>
        <v>91968</v>
      </c>
      <c r="G348" s="35">
        <f>30656*3</f>
        <v>91968</v>
      </c>
      <c r="H348" s="35">
        <v>0</v>
      </c>
      <c r="I348" s="35">
        <f t="shared" si="10"/>
        <v>91968</v>
      </c>
      <c r="J348" s="36">
        <f t="shared" si="11"/>
        <v>0</v>
      </c>
      <c r="K348" s="48" t="s">
        <v>14</v>
      </c>
      <c r="L348" s="48" t="s">
        <v>14</v>
      </c>
      <c r="M348" s="38">
        <v>43281</v>
      </c>
      <c r="N348" s="48" t="s">
        <v>18</v>
      </c>
      <c r="O348" s="35"/>
      <c r="P348" s="35">
        <v>30656</v>
      </c>
      <c r="Q348" s="35">
        <v>30656</v>
      </c>
      <c r="R348" s="35">
        <v>30656</v>
      </c>
      <c r="S348" s="58"/>
      <c r="T348" s="58"/>
    </row>
    <row r="349" spans="1:20" s="15" customFormat="1" ht="26.25" customHeight="1" x14ac:dyDescent="0.2">
      <c r="A349" s="43" t="s">
        <v>836</v>
      </c>
      <c r="B349" s="46" t="s">
        <v>36</v>
      </c>
      <c r="C349" s="44" t="s">
        <v>844</v>
      </c>
      <c r="D349" s="47">
        <v>14005</v>
      </c>
      <c r="E349" s="46" t="s">
        <v>852</v>
      </c>
      <c r="F349" s="35">
        <v>10692</v>
      </c>
      <c r="G349" s="35">
        <v>10692</v>
      </c>
      <c r="H349" s="35">
        <v>0</v>
      </c>
      <c r="I349" s="35">
        <f t="shared" si="10"/>
        <v>10692</v>
      </c>
      <c r="J349" s="36">
        <f t="shared" si="11"/>
        <v>0</v>
      </c>
      <c r="K349" s="48" t="s">
        <v>14</v>
      </c>
      <c r="L349" s="48" t="s">
        <v>14</v>
      </c>
      <c r="M349" s="38">
        <v>43891</v>
      </c>
      <c r="N349" s="48"/>
      <c r="O349" s="35">
        <v>10692</v>
      </c>
      <c r="P349" s="35"/>
      <c r="Q349" s="35"/>
      <c r="R349" s="35"/>
      <c r="S349" s="58"/>
      <c r="T349" s="58"/>
    </row>
    <row r="350" spans="1:20" s="15" customFormat="1" ht="26.25" customHeight="1" x14ac:dyDescent="0.2">
      <c r="A350" s="43" t="s">
        <v>633</v>
      </c>
      <c r="B350" s="46" t="s">
        <v>36</v>
      </c>
      <c r="C350" s="44" t="s">
        <v>646</v>
      </c>
      <c r="D350" s="47">
        <v>13986</v>
      </c>
      <c r="E350" s="46" t="s">
        <v>658</v>
      </c>
      <c r="F350" s="35">
        <v>45000</v>
      </c>
      <c r="G350" s="35">
        <v>45000</v>
      </c>
      <c r="H350" s="35"/>
      <c r="I350" s="35">
        <f t="shared" si="10"/>
        <v>45000</v>
      </c>
      <c r="J350" s="36">
        <f t="shared" si="11"/>
        <v>0</v>
      </c>
      <c r="K350" s="48" t="s">
        <v>14</v>
      </c>
      <c r="L350" s="48" t="s">
        <v>14</v>
      </c>
      <c r="M350" s="38">
        <v>43830</v>
      </c>
      <c r="N350" s="48"/>
      <c r="O350" s="35">
        <v>45000</v>
      </c>
      <c r="P350" s="35"/>
      <c r="Q350" s="35"/>
      <c r="R350" s="35"/>
      <c r="S350" s="58"/>
      <c r="T350" s="58"/>
    </row>
    <row r="351" spans="1:20" s="15" customFormat="1" ht="26.25" customHeight="1" x14ac:dyDescent="0.2">
      <c r="A351" s="43" t="s">
        <v>520</v>
      </c>
      <c r="B351" s="46" t="s">
        <v>36</v>
      </c>
      <c r="C351" s="44" t="s">
        <v>528</v>
      </c>
      <c r="D351" s="54" t="s">
        <v>535</v>
      </c>
      <c r="E351" s="46" t="s">
        <v>542</v>
      </c>
      <c r="F351" s="35">
        <f>8138*3</f>
        <v>24414</v>
      </c>
      <c r="G351" s="35">
        <f>8138*3</f>
        <v>24414</v>
      </c>
      <c r="H351" s="35">
        <v>0</v>
      </c>
      <c r="I351" s="35">
        <f t="shared" si="10"/>
        <v>24414</v>
      </c>
      <c r="J351" s="36">
        <f t="shared" si="11"/>
        <v>0</v>
      </c>
      <c r="K351" s="48" t="s">
        <v>14</v>
      </c>
      <c r="L351" s="48" t="s">
        <v>14</v>
      </c>
      <c r="M351" s="38">
        <v>43055</v>
      </c>
      <c r="N351" s="48" t="s">
        <v>18</v>
      </c>
      <c r="O351" s="35">
        <v>8138</v>
      </c>
      <c r="P351" s="35">
        <v>8138</v>
      </c>
      <c r="Q351" s="35">
        <v>8138</v>
      </c>
      <c r="R351" s="35"/>
      <c r="S351" s="58"/>
      <c r="T351" s="58"/>
    </row>
    <row r="352" spans="1:20" s="15" customFormat="1" ht="18" customHeight="1" x14ac:dyDescent="0.2">
      <c r="A352" s="43" t="s">
        <v>1160</v>
      </c>
      <c r="B352" s="46" t="s">
        <v>36</v>
      </c>
      <c r="C352" s="44" t="s">
        <v>1166</v>
      </c>
      <c r="D352" s="47">
        <v>14922</v>
      </c>
      <c r="E352" s="46" t="s">
        <v>1176</v>
      </c>
      <c r="F352" s="35">
        <v>16627</v>
      </c>
      <c r="G352" s="35">
        <v>16627</v>
      </c>
      <c r="H352" s="35">
        <v>0</v>
      </c>
      <c r="I352" s="35">
        <f t="shared" si="10"/>
        <v>16627</v>
      </c>
      <c r="J352" s="36">
        <f t="shared" si="11"/>
        <v>0</v>
      </c>
      <c r="K352" s="48" t="s">
        <v>14</v>
      </c>
      <c r="L352" s="48" t="s">
        <v>14</v>
      </c>
      <c r="M352" s="38">
        <v>42916</v>
      </c>
      <c r="N352" s="48"/>
      <c r="O352" s="35">
        <v>16627</v>
      </c>
      <c r="P352" s="35"/>
      <c r="Q352" s="35"/>
      <c r="R352" s="35"/>
      <c r="S352" s="58"/>
      <c r="T352" s="58"/>
    </row>
    <row r="353" spans="1:20" s="15" customFormat="1" ht="18" customHeight="1" x14ac:dyDescent="0.2">
      <c r="A353" s="43" t="s">
        <v>213</v>
      </c>
      <c r="B353" s="46" t="s">
        <v>36</v>
      </c>
      <c r="C353" s="44" t="s">
        <v>68</v>
      </c>
      <c r="D353" s="54">
        <v>13147</v>
      </c>
      <c r="E353" s="46" t="s">
        <v>229</v>
      </c>
      <c r="F353" s="35">
        <v>61708</v>
      </c>
      <c r="G353" s="40">
        <v>975237</v>
      </c>
      <c r="H353" s="35">
        <v>61708</v>
      </c>
      <c r="I353" s="35">
        <f t="shared" si="10"/>
        <v>1036945</v>
      </c>
      <c r="J353" s="36">
        <f t="shared" si="11"/>
        <v>6.327487574815148E-2</v>
      </c>
      <c r="K353" s="48" t="s">
        <v>14</v>
      </c>
      <c r="L353" s="48" t="s">
        <v>14</v>
      </c>
      <c r="M353" s="38">
        <v>42794</v>
      </c>
      <c r="N353" s="48" t="s">
        <v>28</v>
      </c>
      <c r="O353" s="35">
        <v>61708</v>
      </c>
      <c r="P353" s="35"/>
      <c r="Q353" s="35"/>
      <c r="R353" s="35"/>
      <c r="S353" s="58"/>
      <c r="T353" s="58"/>
    </row>
    <row r="354" spans="1:20" s="15" customFormat="1" ht="26.25" customHeight="1" x14ac:dyDescent="0.2">
      <c r="A354" s="43" t="s">
        <v>1179</v>
      </c>
      <c r="B354" s="43" t="s">
        <v>166</v>
      </c>
      <c r="C354" s="43" t="s">
        <v>1181</v>
      </c>
      <c r="D354" s="47">
        <v>14825</v>
      </c>
      <c r="E354" s="46" t="s">
        <v>1182</v>
      </c>
      <c r="F354" s="35">
        <f>97500*2</f>
        <v>195000</v>
      </c>
      <c r="G354" s="35">
        <f>97500*2</f>
        <v>195000</v>
      </c>
      <c r="H354" s="35">
        <v>0</v>
      </c>
      <c r="I354" s="35">
        <f t="shared" si="10"/>
        <v>195000</v>
      </c>
      <c r="J354" s="36">
        <f t="shared" si="11"/>
        <v>0</v>
      </c>
      <c r="K354" s="48" t="s">
        <v>14</v>
      </c>
      <c r="L354" s="48" t="s">
        <v>14</v>
      </c>
      <c r="M354" s="38">
        <v>43159</v>
      </c>
      <c r="N354" s="48" t="s">
        <v>18</v>
      </c>
      <c r="O354" s="35"/>
      <c r="P354" s="35">
        <v>97500</v>
      </c>
      <c r="Q354" s="35">
        <v>97500</v>
      </c>
      <c r="R354" s="35"/>
      <c r="S354" s="58"/>
      <c r="T354" s="58"/>
    </row>
    <row r="355" spans="1:20" s="15" customFormat="1" ht="26.25" customHeight="1" x14ac:dyDescent="0.2">
      <c r="A355" s="43" t="s">
        <v>311</v>
      </c>
      <c r="B355" s="46" t="s">
        <v>166</v>
      </c>
      <c r="C355" s="44" t="s">
        <v>319</v>
      </c>
      <c r="D355" s="47">
        <v>13296</v>
      </c>
      <c r="E355" s="46" t="s">
        <v>332</v>
      </c>
      <c r="F355" s="35">
        <v>40000</v>
      </c>
      <c r="G355" s="40">
        <v>40000</v>
      </c>
      <c r="H355" s="35">
        <v>0</v>
      </c>
      <c r="I355" s="35">
        <f t="shared" si="10"/>
        <v>40000</v>
      </c>
      <c r="J355" s="36">
        <f t="shared" si="11"/>
        <v>0</v>
      </c>
      <c r="K355" s="48" t="s">
        <v>14</v>
      </c>
      <c r="L355" s="48" t="s">
        <v>15</v>
      </c>
      <c r="M355" s="38">
        <v>42735</v>
      </c>
      <c r="N355" s="48"/>
      <c r="O355" s="35">
        <v>40000</v>
      </c>
      <c r="P355" s="35"/>
      <c r="Q355" s="35"/>
      <c r="R355" s="35"/>
      <c r="S355" s="58"/>
      <c r="T355" s="58"/>
    </row>
    <row r="356" spans="1:20" s="15" customFormat="1" ht="26.25" customHeight="1" x14ac:dyDescent="0.2">
      <c r="A356" s="43" t="s">
        <v>1056</v>
      </c>
      <c r="B356" s="46" t="s">
        <v>166</v>
      </c>
      <c r="C356" s="44" t="s">
        <v>1060</v>
      </c>
      <c r="D356" s="47">
        <v>14617</v>
      </c>
      <c r="E356" s="46" t="s">
        <v>1066</v>
      </c>
      <c r="F356" s="35">
        <v>84802</v>
      </c>
      <c r="G356" s="35">
        <v>84802</v>
      </c>
      <c r="H356" s="35">
        <v>0</v>
      </c>
      <c r="I356" s="35">
        <f t="shared" si="10"/>
        <v>84802</v>
      </c>
      <c r="J356" s="36">
        <f t="shared" si="11"/>
        <v>0</v>
      </c>
      <c r="K356" s="48" t="s">
        <v>15</v>
      </c>
      <c r="L356" s="48" t="s">
        <v>15</v>
      </c>
      <c r="M356" s="38">
        <v>42947</v>
      </c>
      <c r="N356" s="48"/>
      <c r="O356" s="35">
        <v>84802</v>
      </c>
      <c r="P356" s="35"/>
      <c r="Q356" s="35"/>
      <c r="R356" s="35"/>
      <c r="S356" s="58"/>
      <c r="T356" s="58"/>
    </row>
    <row r="357" spans="1:20" s="15" customFormat="1" ht="26.25" customHeight="1" x14ac:dyDescent="0.2">
      <c r="A357" s="43" t="s">
        <v>337</v>
      </c>
      <c r="B357" s="46" t="s">
        <v>166</v>
      </c>
      <c r="C357" s="44" t="s">
        <v>85</v>
      </c>
      <c r="D357" s="47">
        <v>13252</v>
      </c>
      <c r="E357" s="46" t="s">
        <v>348</v>
      </c>
      <c r="F357" s="35">
        <v>99500</v>
      </c>
      <c r="G357" s="35">
        <v>99500</v>
      </c>
      <c r="H357" s="35">
        <v>0</v>
      </c>
      <c r="I357" s="35">
        <f t="shared" si="10"/>
        <v>99500</v>
      </c>
      <c r="J357" s="36">
        <f t="shared" si="11"/>
        <v>0</v>
      </c>
      <c r="K357" s="48" t="s">
        <v>14</v>
      </c>
      <c r="L357" s="48" t="s">
        <v>15</v>
      </c>
      <c r="M357" s="38">
        <v>42825</v>
      </c>
      <c r="N357" s="48"/>
      <c r="O357" s="35">
        <v>99500</v>
      </c>
      <c r="P357" s="35"/>
      <c r="Q357" s="35"/>
      <c r="R357" s="35"/>
      <c r="S357" s="58"/>
      <c r="T357" s="58"/>
    </row>
    <row r="358" spans="1:20" s="15" customFormat="1" ht="26.25" customHeight="1" x14ac:dyDescent="0.2">
      <c r="A358" s="43" t="s">
        <v>625</v>
      </c>
      <c r="B358" s="46" t="s">
        <v>166</v>
      </c>
      <c r="C358" s="44" t="s">
        <v>640</v>
      </c>
      <c r="D358" s="47">
        <v>13767</v>
      </c>
      <c r="E358" s="46" t="s">
        <v>650</v>
      </c>
      <c r="F358" s="35">
        <v>49500</v>
      </c>
      <c r="G358" s="35">
        <v>49500</v>
      </c>
      <c r="H358" s="35">
        <v>0</v>
      </c>
      <c r="I358" s="35">
        <f t="shared" si="10"/>
        <v>49500</v>
      </c>
      <c r="J358" s="36">
        <f t="shared" si="11"/>
        <v>0</v>
      </c>
      <c r="K358" s="48" t="s">
        <v>14</v>
      </c>
      <c r="L358" s="48" t="s">
        <v>14</v>
      </c>
      <c r="M358" s="38">
        <v>42916</v>
      </c>
      <c r="N358" s="48"/>
      <c r="O358" s="35">
        <v>49500</v>
      </c>
      <c r="P358" s="35"/>
      <c r="Q358" s="35"/>
      <c r="R358" s="35"/>
      <c r="S358" s="58"/>
      <c r="T358" s="58"/>
    </row>
    <row r="359" spans="1:20" s="15" customFormat="1" ht="26.25" customHeight="1" x14ac:dyDescent="0.2">
      <c r="A359" s="43" t="s">
        <v>162</v>
      </c>
      <c r="B359" s="46" t="s">
        <v>166</v>
      </c>
      <c r="C359" s="44" t="s">
        <v>171</v>
      </c>
      <c r="D359" s="47">
        <v>13051</v>
      </c>
      <c r="E359" s="46" t="s">
        <v>180</v>
      </c>
      <c r="F359" s="49">
        <v>5700</v>
      </c>
      <c r="G359" s="50">
        <v>5700</v>
      </c>
      <c r="H359" s="35">
        <v>0</v>
      </c>
      <c r="I359" s="35">
        <f t="shared" si="10"/>
        <v>5700</v>
      </c>
      <c r="J359" s="36">
        <f t="shared" si="11"/>
        <v>0</v>
      </c>
      <c r="K359" s="48" t="s">
        <v>14</v>
      </c>
      <c r="L359" s="48" t="s">
        <v>15</v>
      </c>
      <c r="M359" s="38">
        <v>42643</v>
      </c>
      <c r="N359" s="48"/>
      <c r="O359" s="41">
        <v>5700</v>
      </c>
      <c r="P359" s="41"/>
      <c r="Q359" s="41"/>
      <c r="R359" s="41"/>
      <c r="S359" s="58"/>
      <c r="T359" s="58"/>
    </row>
    <row r="360" spans="1:20" s="15" customFormat="1" ht="18" customHeight="1" x14ac:dyDescent="0.2">
      <c r="A360" s="43" t="s">
        <v>1137</v>
      </c>
      <c r="B360" s="46" t="s">
        <v>30</v>
      </c>
      <c r="C360" s="44" t="s">
        <v>1143</v>
      </c>
      <c r="D360" s="47">
        <v>14730</v>
      </c>
      <c r="E360" s="46" t="s">
        <v>1147</v>
      </c>
      <c r="F360" s="35">
        <v>22189</v>
      </c>
      <c r="G360" s="35">
        <v>22189</v>
      </c>
      <c r="H360" s="35">
        <v>0</v>
      </c>
      <c r="I360" s="35">
        <f t="shared" si="10"/>
        <v>22189</v>
      </c>
      <c r="J360" s="36">
        <f t="shared" si="11"/>
        <v>0</v>
      </c>
      <c r="K360" s="48" t="s">
        <v>14</v>
      </c>
      <c r="L360" s="48" t="s">
        <v>14</v>
      </c>
      <c r="M360" s="38">
        <v>43259</v>
      </c>
      <c r="N360" s="48"/>
      <c r="O360" s="35">
        <v>22189</v>
      </c>
      <c r="P360" s="35"/>
      <c r="Q360" s="35"/>
      <c r="R360" s="35"/>
      <c r="S360" s="58"/>
      <c r="T360" s="58"/>
    </row>
    <row r="361" spans="1:20" s="15" customFormat="1" ht="26.25" customHeight="1" x14ac:dyDescent="0.2">
      <c r="A361" s="43" t="s">
        <v>502</v>
      </c>
      <c r="B361" s="46" t="s">
        <v>30</v>
      </c>
      <c r="C361" s="44" t="s">
        <v>509</v>
      </c>
      <c r="D361" s="47">
        <v>13626</v>
      </c>
      <c r="E361" s="46" t="s">
        <v>516</v>
      </c>
      <c r="F361" s="35">
        <v>45900</v>
      </c>
      <c r="G361" s="35">
        <v>25500</v>
      </c>
      <c r="H361" s="35">
        <v>45900</v>
      </c>
      <c r="I361" s="35">
        <f t="shared" si="10"/>
        <v>71400</v>
      </c>
      <c r="J361" s="36">
        <f t="shared" si="11"/>
        <v>1.8</v>
      </c>
      <c r="K361" s="48" t="s">
        <v>14</v>
      </c>
      <c r="L361" s="48" t="s">
        <v>14</v>
      </c>
      <c r="M361" s="38">
        <v>42906</v>
      </c>
      <c r="N361" s="48" t="s">
        <v>28</v>
      </c>
      <c r="O361" s="35">
        <v>45900</v>
      </c>
      <c r="P361" s="35"/>
      <c r="Q361" s="35"/>
      <c r="R361" s="35"/>
      <c r="S361" s="58"/>
      <c r="T361" s="58"/>
    </row>
    <row r="362" spans="1:20" s="15" customFormat="1" ht="26.25" customHeight="1" x14ac:dyDescent="0.2">
      <c r="A362" s="43" t="s">
        <v>366</v>
      </c>
      <c r="B362" s="46" t="s">
        <v>30</v>
      </c>
      <c r="C362" s="44" t="s">
        <v>375</v>
      </c>
      <c r="D362" s="47">
        <v>13263</v>
      </c>
      <c r="E362" s="46" t="s">
        <v>381</v>
      </c>
      <c r="F362" s="35">
        <v>20200</v>
      </c>
      <c r="G362" s="35">
        <v>20200</v>
      </c>
      <c r="H362" s="35">
        <v>0</v>
      </c>
      <c r="I362" s="35">
        <f t="shared" si="10"/>
        <v>20200</v>
      </c>
      <c r="J362" s="36">
        <f t="shared" si="11"/>
        <v>0</v>
      </c>
      <c r="K362" s="48" t="s">
        <v>14</v>
      </c>
      <c r="L362" s="48" t="s">
        <v>14</v>
      </c>
      <c r="M362" s="38">
        <v>42681</v>
      </c>
      <c r="N362" s="48"/>
      <c r="O362" s="35">
        <v>20200</v>
      </c>
      <c r="P362" s="35"/>
      <c r="Q362" s="35"/>
      <c r="R362" s="35"/>
      <c r="S362" s="58"/>
      <c r="T362" s="58"/>
    </row>
    <row r="363" spans="1:20" s="15" customFormat="1" ht="26.25" customHeight="1" x14ac:dyDescent="0.2">
      <c r="A363" s="43" t="s">
        <v>627</v>
      </c>
      <c r="B363" s="46" t="s">
        <v>30</v>
      </c>
      <c r="C363" s="44" t="s">
        <v>375</v>
      </c>
      <c r="D363" s="54" t="s">
        <v>662</v>
      </c>
      <c r="E363" s="46" t="s">
        <v>652</v>
      </c>
      <c r="F363" s="35">
        <v>8360</v>
      </c>
      <c r="G363" s="35">
        <v>8360</v>
      </c>
      <c r="H363" s="35">
        <v>0</v>
      </c>
      <c r="I363" s="35">
        <f t="shared" si="10"/>
        <v>8360</v>
      </c>
      <c r="J363" s="36">
        <f t="shared" si="11"/>
        <v>0</v>
      </c>
      <c r="K363" s="48" t="s">
        <v>14</v>
      </c>
      <c r="L363" s="48" t="s">
        <v>14</v>
      </c>
      <c r="M363" s="38">
        <v>43084</v>
      </c>
      <c r="N363" s="48"/>
      <c r="O363" s="35">
        <v>8360</v>
      </c>
      <c r="P363" s="35"/>
      <c r="Q363" s="35"/>
      <c r="R363" s="35"/>
      <c r="S363" s="58"/>
      <c r="T363" s="58"/>
    </row>
    <row r="364" spans="1:20" s="15" customFormat="1" ht="18" customHeight="1" x14ac:dyDescent="0.2">
      <c r="A364" s="43" t="s">
        <v>764</v>
      </c>
      <c r="B364" s="46" t="s">
        <v>30</v>
      </c>
      <c r="C364" s="44" t="s">
        <v>775</v>
      </c>
      <c r="D364" s="47">
        <v>14065</v>
      </c>
      <c r="E364" s="46" t="s">
        <v>790</v>
      </c>
      <c r="F364" s="35">
        <v>8310</v>
      </c>
      <c r="G364" s="35">
        <v>8310</v>
      </c>
      <c r="H364" s="35">
        <v>0</v>
      </c>
      <c r="I364" s="35">
        <f t="shared" si="10"/>
        <v>8310</v>
      </c>
      <c r="J364" s="36">
        <f t="shared" si="11"/>
        <v>0</v>
      </c>
      <c r="K364" s="48" t="s">
        <v>14</v>
      </c>
      <c r="L364" s="48" t="s">
        <v>14</v>
      </c>
      <c r="M364" s="38">
        <v>42853</v>
      </c>
      <c r="N364" s="48"/>
      <c r="O364" s="35">
        <v>8310</v>
      </c>
      <c r="P364" s="35"/>
      <c r="Q364" s="35"/>
      <c r="R364" s="35"/>
      <c r="S364" s="58"/>
      <c r="T364" s="58"/>
    </row>
    <row r="365" spans="1:20" s="15" customFormat="1" ht="18" customHeight="1" x14ac:dyDescent="0.2">
      <c r="A365" s="43" t="s">
        <v>978</v>
      </c>
      <c r="B365" s="46" t="s">
        <v>30</v>
      </c>
      <c r="C365" s="44" t="s">
        <v>988</v>
      </c>
      <c r="D365" s="47">
        <v>14479</v>
      </c>
      <c r="E365" s="46" t="s">
        <v>999</v>
      </c>
      <c r="F365" s="35">
        <v>40899</v>
      </c>
      <c r="G365" s="35">
        <v>40899</v>
      </c>
      <c r="H365" s="35">
        <v>0</v>
      </c>
      <c r="I365" s="35">
        <f t="shared" si="10"/>
        <v>40899</v>
      </c>
      <c r="J365" s="36">
        <f t="shared" si="11"/>
        <v>0</v>
      </c>
      <c r="K365" s="48" t="s">
        <v>14</v>
      </c>
      <c r="L365" s="48" t="s">
        <v>15</v>
      </c>
      <c r="M365" s="38">
        <v>43586</v>
      </c>
      <c r="N365" s="48"/>
      <c r="O365" s="35">
        <v>40899</v>
      </c>
      <c r="P365" s="35"/>
      <c r="Q365" s="35"/>
      <c r="R365" s="35"/>
      <c r="S365" s="58"/>
      <c r="T365" s="58"/>
    </row>
    <row r="366" spans="1:20" s="15" customFormat="1" ht="26.25" customHeight="1" x14ac:dyDescent="0.2">
      <c r="A366" s="43" t="s">
        <v>417</v>
      </c>
      <c r="B366" s="46" t="s">
        <v>30</v>
      </c>
      <c r="C366" s="44" t="s">
        <v>424</v>
      </c>
      <c r="D366" s="47">
        <v>13450</v>
      </c>
      <c r="E366" s="46" t="s">
        <v>430</v>
      </c>
      <c r="F366" s="35">
        <v>24800</v>
      </c>
      <c r="G366" s="35">
        <v>24800</v>
      </c>
      <c r="H366" s="35">
        <v>0</v>
      </c>
      <c r="I366" s="35">
        <f t="shared" si="10"/>
        <v>24800</v>
      </c>
      <c r="J366" s="36">
        <f t="shared" si="11"/>
        <v>0</v>
      </c>
      <c r="K366" s="48" t="s">
        <v>14</v>
      </c>
      <c r="L366" s="48" t="s">
        <v>15</v>
      </c>
      <c r="M366" s="38">
        <v>43038</v>
      </c>
      <c r="N366" s="48"/>
      <c r="O366" s="35">
        <v>24800</v>
      </c>
      <c r="P366" s="35"/>
      <c r="Q366" s="35"/>
      <c r="R366" s="35"/>
      <c r="S366" s="58"/>
      <c r="T366" s="58"/>
    </row>
    <row r="367" spans="1:20" s="15" customFormat="1" ht="26.25" customHeight="1" x14ac:dyDescent="0.2">
      <c r="A367" s="43" t="s">
        <v>827</v>
      </c>
      <c r="B367" s="46" t="s">
        <v>30</v>
      </c>
      <c r="C367" s="44" t="s">
        <v>830</v>
      </c>
      <c r="D367" s="47">
        <v>13663</v>
      </c>
      <c r="E367" s="46" t="s">
        <v>833</v>
      </c>
      <c r="F367" s="35">
        <f>90077*3</f>
        <v>270231</v>
      </c>
      <c r="G367" s="35">
        <f>90077*3</f>
        <v>270231</v>
      </c>
      <c r="H367" s="35">
        <v>0</v>
      </c>
      <c r="I367" s="35">
        <f t="shared" si="10"/>
        <v>270231</v>
      </c>
      <c r="J367" s="36">
        <f t="shared" si="11"/>
        <v>0</v>
      </c>
      <c r="K367" s="48" t="s">
        <v>14</v>
      </c>
      <c r="L367" s="48" t="s">
        <v>15</v>
      </c>
      <c r="M367" s="38">
        <v>43119</v>
      </c>
      <c r="N367" s="48" t="s">
        <v>18</v>
      </c>
      <c r="O367" s="35">
        <v>90077</v>
      </c>
      <c r="P367" s="35">
        <v>90077</v>
      </c>
      <c r="Q367" s="35">
        <v>90077</v>
      </c>
      <c r="R367" s="35"/>
      <c r="S367" s="58"/>
      <c r="T367" s="58"/>
    </row>
    <row r="368" spans="1:20" s="15" customFormat="1" ht="18" customHeight="1" x14ac:dyDescent="0.2">
      <c r="A368" s="43" t="s">
        <v>876</v>
      </c>
      <c r="B368" s="46" t="s">
        <v>30</v>
      </c>
      <c r="C368" s="44" t="s">
        <v>880</v>
      </c>
      <c r="D368" s="47">
        <v>13985</v>
      </c>
      <c r="E368" s="46" t="s">
        <v>883</v>
      </c>
      <c r="F368" s="35">
        <f>25025*3</f>
        <v>75075</v>
      </c>
      <c r="G368" s="35">
        <f>25025*3</f>
        <v>75075</v>
      </c>
      <c r="H368" s="35">
        <v>0</v>
      </c>
      <c r="I368" s="35">
        <f t="shared" si="10"/>
        <v>75075</v>
      </c>
      <c r="J368" s="36">
        <f t="shared" si="11"/>
        <v>0</v>
      </c>
      <c r="K368" s="48" t="s">
        <v>14</v>
      </c>
      <c r="L368" s="48" t="s">
        <v>15</v>
      </c>
      <c r="M368" s="38">
        <v>43159</v>
      </c>
      <c r="N368" s="48" t="s">
        <v>18</v>
      </c>
      <c r="O368" s="35">
        <v>25025</v>
      </c>
      <c r="P368" s="35">
        <v>25025</v>
      </c>
      <c r="Q368" s="35">
        <v>25025</v>
      </c>
      <c r="R368" s="35"/>
      <c r="S368" s="58"/>
      <c r="T368" s="58"/>
    </row>
    <row r="369" spans="1:20" s="15" customFormat="1" ht="26.25" customHeight="1" x14ac:dyDescent="0.2">
      <c r="A369" s="43" t="s">
        <v>875</v>
      </c>
      <c r="B369" s="46" t="s">
        <v>30</v>
      </c>
      <c r="C369" s="44" t="s">
        <v>47</v>
      </c>
      <c r="D369" s="47">
        <v>13792</v>
      </c>
      <c r="E369" s="46" t="s">
        <v>882</v>
      </c>
      <c r="F369" s="35">
        <f>43500+15000+15000</f>
        <v>73500</v>
      </c>
      <c r="G369" s="35">
        <f>43500+15000+15000</f>
        <v>73500</v>
      </c>
      <c r="H369" s="35">
        <v>0</v>
      </c>
      <c r="I369" s="35">
        <f t="shared" si="10"/>
        <v>73500</v>
      </c>
      <c r="J369" s="36">
        <f t="shared" si="11"/>
        <v>0</v>
      </c>
      <c r="K369" s="48" t="s">
        <v>14</v>
      </c>
      <c r="L369" s="48" t="s">
        <v>15</v>
      </c>
      <c r="M369" s="38">
        <v>43847</v>
      </c>
      <c r="N369" s="48" t="s">
        <v>18</v>
      </c>
      <c r="O369" s="35">
        <v>43500</v>
      </c>
      <c r="P369" s="35"/>
      <c r="Q369" s="35"/>
      <c r="R369" s="35"/>
      <c r="S369" s="35">
        <v>15000</v>
      </c>
      <c r="T369" s="35">
        <v>15000</v>
      </c>
    </row>
    <row r="370" spans="1:20" s="15" customFormat="1" ht="18" customHeight="1" x14ac:dyDescent="0.2">
      <c r="A370" s="43" t="s">
        <v>1087</v>
      </c>
      <c r="B370" s="46" t="s">
        <v>30</v>
      </c>
      <c r="C370" s="44" t="s">
        <v>1093</v>
      </c>
      <c r="D370" s="47">
        <v>14580</v>
      </c>
      <c r="E370" s="46" t="s">
        <v>1101</v>
      </c>
      <c r="F370" s="35">
        <v>24652</v>
      </c>
      <c r="G370" s="35">
        <v>24652</v>
      </c>
      <c r="H370" s="35">
        <v>0</v>
      </c>
      <c r="I370" s="35">
        <f t="shared" si="10"/>
        <v>24652</v>
      </c>
      <c r="J370" s="36">
        <f t="shared" si="11"/>
        <v>0</v>
      </c>
      <c r="K370" s="48" t="s">
        <v>14</v>
      </c>
      <c r="L370" s="48" t="s">
        <v>15</v>
      </c>
      <c r="M370" s="38">
        <v>43617</v>
      </c>
      <c r="N370" s="48"/>
      <c r="O370" s="35">
        <v>24652</v>
      </c>
      <c r="P370" s="35"/>
      <c r="Q370" s="35"/>
      <c r="R370" s="35"/>
      <c r="S370" s="58"/>
      <c r="T370" s="58"/>
    </row>
    <row r="371" spans="1:20" s="15" customFormat="1" ht="26.25" customHeight="1" x14ac:dyDescent="0.2">
      <c r="A371" s="43" t="s">
        <v>837</v>
      </c>
      <c r="B371" s="46" t="s">
        <v>30</v>
      </c>
      <c r="C371" s="44" t="s">
        <v>845</v>
      </c>
      <c r="D371" s="47">
        <v>14097</v>
      </c>
      <c r="E371" s="46" t="s">
        <v>853</v>
      </c>
      <c r="F371" s="35">
        <f>47021*3</f>
        <v>141063</v>
      </c>
      <c r="G371" s="35">
        <f>47021*3</f>
        <v>141063</v>
      </c>
      <c r="H371" s="35">
        <v>0</v>
      </c>
      <c r="I371" s="35">
        <f t="shared" si="10"/>
        <v>141063</v>
      </c>
      <c r="J371" s="36">
        <f t="shared" si="11"/>
        <v>0</v>
      </c>
      <c r="K371" s="48" t="s">
        <v>14</v>
      </c>
      <c r="L371" s="48" t="s">
        <v>15</v>
      </c>
      <c r="M371" s="38">
        <v>43159</v>
      </c>
      <c r="N371" s="48" t="s">
        <v>18</v>
      </c>
      <c r="O371" s="35">
        <v>47021</v>
      </c>
      <c r="P371" s="35">
        <v>47021</v>
      </c>
      <c r="Q371" s="35">
        <v>47021</v>
      </c>
      <c r="R371" s="35"/>
      <c r="S371" s="58"/>
      <c r="T371" s="58"/>
    </row>
    <row r="372" spans="1:20" s="15" customFormat="1" ht="26.25" customHeight="1" x14ac:dyDescent="0.2">
      <c r="A372" s="43" t="s">
        <v>710</v>
      </c>
      <c r="B372" s="46" t="s">
        <v>30</v>
      </c>
      <c r="C372" s="44" t="s">
        <v>717</v>
      </c>
      <c r="D372" s="47">
        <v>13906</v>
      </c>
      <c r="E372" s="46" t="s">
        <v>727</v>
      </c>
      <c r="F372" s="35">
        <v>25000</v>
      </c>
      <c r="G372" s="35">
        <v>25000</v>
      </c>
      <c r="H372" s="35">
        <v>0</v>
      </c>
      <c r="I372" s="35">
        <f t="shared" si="10"/>
        <v>25000</v>
      </c>
      <c r="J372" s="36">
        <f t="shared" si="11"/>
        <v>0</v>
      </c>
      <c r="K372" s="48" t="s">
        <v>14</v>
      </c>
      <c r="L372" s="48" t="s">
        <v>14</v>
      </c>
      <c r="M372" s="38">
        <v>43112</v>
      </c>
      <c r="N372" s="48"/>
      <c r="O372" s="35">
        <v>25000</v>
      </c>
      <c r="P372" s="35"/>
      <c r="Q372" s="35"/>
      <c r="R372" s="35"/>
      <c r="S372" s="58"/>
      <c r="T372" s="58"/>
    </row>
    <row r="373" spans="1:20" s="15" customFormat="1" ht="26.25" customHeight="1" x14ac:dyDescent="0.2">
      <c r="A373" s="43" t="s">
        <v>247</v>
      </c>
      <c r="B373" s="46" t="s">
        <v>30</v>
      </c>
      <c r="C373" s="44" t="s">
        <v>265</v>
      </c>
      <c r="D373" s="47">
        <v>13209</v>
      </c>
      <c r="E373" s="46" t="s">
        <v>49</v>
      </c>
      <c r="F373" s="35">
        <v>11172</v>
      </c>
      <c r="G373" s="35">
        <v>11172</v>
      </c>
      <c r="H373" s="35">
        <v>0</v>
      </c>
      <c r="I373" s="35">
        <f t="shared" si="10"/>
        <v>11172</v>
      </c>
      <c r="J373" s="36">
        <f t="shared" si="11"/>
        <v>0</v>
      </c>
      <c r="K373" s="48" t="s">
        <v>14</v>
      </c>
      <c r="L373" s="48" t="s">
        <v>14</v>
      </c>
      <c r="M373" s="38">
        <v>42538</v>
      </c>
      <c r="N373" s="48"/>
      <c r="O373" s="35">
        <v>11172</v>
      </c>
      <c r="P373" s="35"/>
      <c r="Q373" s="35"/>
      <c r="R373" s="35"/>
      <c r="S373" s="58"/>
      <c r="T373" s="58"/>
    </row>
    <row r="374" spans="1:20" s="15" customFormat="1" ht="26.25" customHeight="1" x14ac:dyDescent="0.2">
      <c r="A374" s="43" t="s">
        <v>471</v>
      </c>
      <c r="B374" s="46" t="s">
        <v>30</v>
      </c>
      <c r="C374" s="44" t="s">
        <v>483</v>
      </c>
      <c r="D374" s="47">
        <v>13488</v>
      </c>
      <c r="E374" s="46" t="s">
        <v>497</v>
      </c>
      <c r="F374" s="35">
        <v>13100</v>
      </c>
      <c r="G374" s="35">
        <v>13100</v>
      </c>
      <c r="H374" s="35">
        <v>0</v>
      </c>
      <c r="I374" s="35">
        <f t="shared" si="10"/>
        <v>13100</v>
      </c>
      <c r="J374" s="36">
        <f t="shared" si="11"/>
        <v>0</v>
      </c>
      <c r="K374" s="48" t="s">
        <v>14</v>
      </c>
      <c r="L374" s="48" t="s">
        <v>14</v>
      </c>
      <c r="M374" s="38">
        <v>43392</v>
      </c>
      <c r="N374" s="48"/>
      <c r="O374" s="49">
        <v>13100</v>
      </c>
      <c r="P374" s="35"/>
      <c r="Q374" s="35"/>
      <c r="R374" s="35"/>
      <c r="S374" s="58"/>
      <c r="T374" s="58"/>
    </row>
    <row r="375" spans="1:20" s="15" customFormat="1" ht="26.25" customHeight="1" x14ac:dyDescent="0.2">
      <c r="A375" s="43" t="s">
        <v>732</v>
      </c>
      <c r="B375" s="46" t="s">
        <v>30</v>
      </c>
      <c r="C375" s="44" t="s">
        <v>739</v>
      </c>
      <c r="D375" s="54" t="s">
        <v>743</v>
      </c>
      <c r="E375" s="46" t="s">
        <v>747</v>
      </c>
      <c r="F375" s="35">
        <v>38180</v>
      </c>
      <c r="G375" s="35">
        <v>46850</v>
      </c>
      <c r="H375" s="35">
        <v>38180</v>
      </c>
      <c r="I375" s="35">
        <f t="shared" si="10"/>
        <v>85030</v>
      </c>
      <c r="J375" s="36">
        <f t="shared" si="11"/>
        <v>0.81494130202774817</v>
      </c>
      <c r="K375" s="48" t="s">
        <v>14</v>
      </c>
      <c r="L375" s="48" t="s">
        <v>14</v>
      </c>
      <c r="M375" s="38">
        <v>42825</v>
      </c>
      <c r="N375" s="48" t="s">
        <v>28</v>
      </c>
      <c r="O375" s="35">
        <v>38180</v>
      </c>
      <c r="P375" s="35"/>
      <c r="Q375" s="35"/>
      <c r="R375" s="35"/>
      <c r="S375" s="58"/>
      <c r="T375" s="58"/>
    </row>
    <row r="376" spans="1:20" s="15" customFormat="1" ht="26.25" customHeight="1" x14ac:dyDescent="0.2">
      <c r="A376" s="43" t="s">
        <v>1138</v>
      </c>
      <c r="B376" s="46" t="s">
        <v>30</v>
      </c>
      <c r="C376" s="44" t="s">
        <v>1144</v>
      </c>
      <c r="D376" s="47">
        <v>14681</v>
      </c>
      <c r="E376" s="46" t="s">
        <v>1148</v>
      </c>
      <c r="F376" s="35">
        <v>10000</v>
      </c>
      <c r="G376" s="35">
        <v>30000</v>
      </c>
      <c r="H376" s="35">
        <v>10000</v>
      </c>
      <c r="I376" s="35">
        <f t="shared" si="10"/>
        <v>40000</v>
      </c>
      <c r="J376" s="36">
        <f t="shared" si="11"/>
        <v>0.33333333333333331</v>
      </c>
      <c r="K376" s="48" t="s">
        <v>14</v>
      </c>
      <c r="L376" s="48" t="s">
        <v>14</v>
      </c>
      <c r="M376" s="38">
        <v>42916</v>
      </c>
      <c r="N376" s="48" t="s">
        <v>28</v>
      </c>
      <c r="O376" s="35">
        <v>10000</v>
      </c>
      <c r="P376" s="35"/>
      <c r="Q376" s="35"/>
      <c r="R376" s="35"/>
      <c r="S376" s="58"/>
      <c r="T376" s="58"/>
    </row>
    <row r="377" spans="1:20" s="15" customFormat="1" ht="26.25" customHeight="1" x14ac:dyDescent="0.2">
      <c r="A377" s="43" t="s">
        <v>236</v>
      </c>
      <c r="B377" s="46" t="s">
        <v>31</v>
      </c>
      <c r="C377" s="44" t="s">
        <v>257</v>
      </c>
      <c r="D377" s="47">
        <v>13088</v>
      </c>
      <c r="E377" s="46" t="s">
        <v>273</v>
      </c>
      <c r="F377" s="35">
        <v>15000</v>
      </c>
      <c r="G377" s="35">
        <v>15000</v>
      </c>
      <c r="H377" s="35">
        <v>0</v>
      </c>
      <c r="I377" s="35">
        <f t="shared" si="10"/>
        <v>15000</v>
      </c>
      <c r="J377" s="36">
        <f t="shared" si="11"/>
        <v>0</v>
      </c>
      <c r="K377" s="48" t="s">
        <v>14</v>
      </c>
      <c r="L377" s="48" t="s">
        <v>15</v>
      </c>
      <c r="M377" s="38">
        <v>42916</v>
      </c>
      <c r="N377" s="48"/>
      <c r="O377" s="35">
        <v>15000</v>
      </c>
      <c r="P377" s="35"/>
      <c r="Q377" s="35"/>
      <c r="R377" s="35"/>
      <c r="S377" s="58"/>
      <c r="T377" s="58"/>
    </row>
    <row r="378" spans="1:20" s="15" customFormat="1" ht="26.25" customHeight="1" x14ac:dyDescent="0.2">
      <c r="A378" s="43" t="s">
        <v>900</v>
      </c>
      <c r="B378" s="46" t="s">
        <v>31</v>
      </c>
      <c r="C378" s="44" t="s">
        <v>904</v>
      </c>
      <c r="D378" s="47">
        <v>14258</v>
      </c>
      <c r="E378" s="46" t="s">
        <v>909</v>
      </c>
      <c r="F378" s="35">
        <v>10950</v>
      </c>
      <c r="G378" s="35">
        <v>10950</v>
      </c>
      <c r="H378" s="35">
        <v>0</v>
      </c>
      <c r="I378" s="35">
        <f t="shared" si="10"/>
        <v>10950</v>
      </c>
      <c r="J378" s="36">
        <f t="shared" si="11"/>
        <v>0</v>
      </c>
      <c r="K378" s="48" t="s">
        <v>14</v>
      </c>
      <c r="L378" s="48" t="s">
        <v>15</v>
      </c>
      <c r="M378" s="38">
        <v>43220</v>
      </c>
      <c r="N378" s="48"/>
      <c r="O378" s="35">
        <v>10950</v>
      </c>
      <c r="P378" s="35"/>
      <c r="Q378" s="35"/>
      <c r="R378" s="35"/>
      <c r="S378" s="58"/>
      <c r="T378" s="58"/>
    </row>
    <row r="379" spans="1:20" s="15" customFormat="1" ht="26.25" customHeight="1" x14ac:dyDescent="0.2">
      <c r="A379" s="43" t="s">
        <v>628</v>
      </c>
      <c r="B379" s="46" t="s">
        <v>31</v>
      </c>
      <c r="C379" s="44" t="s">
        <v>642</v>
      </c>
      <c r="D379" s="47">
        <v>13797</v>
      </c>
      <c r="E379" s="46" t="s">
        <v>653</v>
      </c>
      <c r="F379" s="35">
        <f>13500*2</f>
        <v>27000</v>
      </c>
      <c r="G379" s="35">
        <f>13500*2</f>
        <v>27000</v>
      </c>
      <c r="H379" s="35">
        <v>0</v>
      </c>
      <c r="I379" s="35">
        <f t="shared" si="10"/>
        <v>27000</v>
      </c>
      <c r="J379" s="36">
        <f t="shared" si="11"/>
        <v>0</v>
      </c>
      <c r="K379" s="48" t="s">
        <v>14</v>
      </c>
      <c r="L379" s="48" t="s">
        <v>14</v>
      </c>
      <c r="M379" s="38">
        <v>42767</v>
      </c>
      <c r="N379" s="48" t="s">
        <v>18</v>
      </c>
      <c r="O379" s="35">
        <v>13500</v>
      </c>
      <c r="P379" s="35">
        <v>13500</v>
      </c>
      <c r="Q379" s="35"/>
      <c r="R379" s="35"/>
      <c r="S379" s="58"/>
      <c r="T379" s="58"/>
    </row>
    <row r="380" spans="1:20" s="15" customFormat="1" ht="26.25" customHeight="1" x14ac:dyDescent="0.2">
      <c r="A380" s="43" t="s">
        <v>159</v>
      </c>
      <c r="B380" s="46" t="s">
        <v>31</v>
      </c>
      <c r="C380" s="44" t="s">
        <v>168</v>
      </c>
      <c r="D380" s="47">
        <v>13024</v>
      </c>
      <c r="E380" s="46" t="s">
        <v>177</v>
      </c>
      <c r="F380" s="35">
        <f>33050*3</f>
        <v>99150</v>
      </c>
      <c r="G380" s="35">
        <f>33050*3</f>
        <v>99150</v>
      </c>
      <c r="H380" s="35">
        <v>0</v>
      </c>
      <c r="I380" s="49">
        <f t="shared" si="10"/>
        <v>99150</v>
      </c>
      <c r="J380" s="51">
        <f t="shared" si="11"/>
        <v>0</v>
      </c>
      <c r="K380" s="48" t="s">
        <v>14</v>
      </c>
      <c r="L380" s="48" t="s">
        <v>15</v>
      </c>
      <c r="M380" s="38">
        <v>42916</v>
      </c>
      <c r="N380" s="48" t="s">
        <v>18</v>
      </c>
      <c r="O380" s="41">
        <v>33050</v>
      </c>
      <c r="P380" s="41">
        <v>33050</v>
      </c>
      <c r="Q380" s="41">
        <v>33050</v>
      </c>
      <c r="R380" s="41"/>
      <c r="S380" s="58"/>
      <c r="T380" s="58"/>
    </row>
    <row r="381" spans="1:20" s="15" customFormat="1" ht="26.25" customHeight="1" x14ac:dyDescent="0.2">
      <c r="A381" s="43" t="s">
        <v>198</v>
      </c>
      <c r="B381" s="46" t="s">
        <v>31</v>
      </c>
      <c r="C381" s="44" t="s">
        <v>71</v>
      </c>
      <c r="D381" s="54">
        <v>13087</v>
      </c>
      <c r="E381" s="46" t="s">
        <v>228</v>
      </c>
      <c r="F381" s="35">
        <f>60000*3</f>
        <v>180000</v>
      </c>
      <c r="G381" s="35">
        <f>60000*3</f>
        <v>180000</v>
      </c>
      <c r="H381" s="35">
        <v>0</v>
      </c>
      <c r="I381" s="35">
        <f t="shared" si="10"/>
        <v>180000</v>
      </c>
      <c r="J381" s="36">
        <f t="shared" si="11"/>
        <v>0</v>
      </c>
      <c r="K381" s="48" t="s">
        <v>14</v>
      </c>
      <c r="L381" s="48" t="s">
        <v>14</v>
      </c>
      <c r="M381" s="38">
        <v>42916</v>
      </c>
      <c r="N381" s="48" t="s">
        <v>18</v>
      </c>
      <c r="O381" s="35">
        <v>60000</v>
      </c>
      <c r="P381" s="35">
        <v>60000</v>
      </c>
      <c r="Q381" s="35">
        <v>60000</v>
      </c>
      <c r="R381" s="35"/>
      <c r="S381" s="58"/>
      <c r="T381" s="58"/>
    </row>
    <row r="382" spans="1:20" s="15" customFormat="1" ht="26.25" customHeight="1" x14ac:dyDescent="0.2">
      <c r="A382" s="43" t="s">
        <v>232</v>
      </c>
      <c r="B382" s="46" t="s">
        <v>31</v>
      </c>
      <c r="C382" s="44" t="s">
        <v>253</v>
      </c>
      <c r="D382" s="54">
        <v>12835</v>
      </c>
      <c r="E382" s="46" t="s">
        <v>269</v>
      </c>
      <c r="F382" s="35">
        <f>14500*3</f>
        <v>43500</v>
      </c>
      <c r="G382" s="35">
        <f>14500*3</f>
        <v>43500</v>
      </c>
      <c r="H382" s="35">
        <v>0</v>
      </c>
      <c r="I382" s="35">
        <f t="shared" si="10"/>
        <v>43500</v>
      </c>
      <c r="J382" s="36">
        <f t="shared" si="11"/>
        <v>0</v>
      </c>
      <c r="K382" s="48" t="s">
        <v>14</v>
      </c>
      <c r="L382" s="48" t="s">
        <v>14</v>
      </c>
      <c r="M382" s="38">
        <v>42916</v>
      </c>
      <c r="N382" s="48" t="s">
        <v>18</v>
      </c>
      <c r="O382" s="35">
        <v>14500</v>
      </c>
      <c r="P382" s="35">
        <v>14500</v>
      </c>
      <c r="Q382" s="35">
        <v>14500</v>
      </c>
      <c r="R382" s="35"/>
      <c r="S382" s="58"/>
      <c r="T382" s="58"/>
    </row>
    <row r="383" spans="1:20" s="15" customFormat="1" ht="26.25" customHeight="1" x14ac:dyDescent="0.2">
      <c r="A383" s="43" t="s">
        <v>842</v>
      </c>
      <c r="B383" s="46" t="s">
        <v>31</v>
      </c>
      <c r="C383" s="44" t="s">
        <v>253</v>
      </c>
      <c r="D383" s="54" t="s">
        <v>851</v>
      </c>
      <c r="E383" s="46" t="s">
        <v>858</v>
      </c>
      <c r="F383" s="35">
        <f>21000*3</f>
        <v>63000</v>
      </c>
      <c r="G383" s="35">
        <v>14500</v>
      </c>
      <c r="H383" s="35">
        <f>21000*3</f>
        <v>63000</v>
      </c>
      <c r="I383" s="35">
        <f t="shared" si="10"/>
        <v>77500</v>
      </c>
      <c r="J383" s="36">
        <f t="shared" si="11"/>
        <v>4.3448275862068968</v>
      </c>
      <c r="K383" s="48" t="s">
        <v>14</v>
      </c>
      <c r="L383" s="48" t="s">
        <v>14</v>
      </c>
      <c r="M383" s="38">
        <v>42916</v>
      </c>
      <c r="N383" s="48" t="s">
        <v>28</v>
      </c>
      <c r="O383" s="35">
        <v>21000</v>
      </c>
      <c r="P383" s="35">
        <v>21000</v>
      </c>
      <c r="Q383" s="35">
        <v>21000</v>
      </c>
      <c r="R383" s="35"/>
      <c r="S383" s="58"/>
      <c r="T383" s="58"/>
    </row>
    <row r="384" spans="1:20" s="15" customFormat="1" ht="26.25" customHeight="1" x14ac:dyDescent="0.2">
      <c r="A384" s="43" t="s">
        <v>522</v>
      </c>
      <c r="B384" s="46" t="s">
        <v>31</v>
      </c>
      <c r="C384" s="44" t="s">
        <v>530</v>
      </c>
      <c r="D384" s="47">
        <v>13638</v>
      </c>
      <c r="E384" s="46" t="s">
        <v>537</v>
      </c>
      <c r="F384" s="35">
        <v>7000</v>
      </c>
      <c r="G384" s="35">
        <v>7000</v>
      </c>
      <c r="H384" s="35">
        <v>0</v>
      </c>
      <c r="I384" s="35">
        <f t="shared" si="10"/>
        <v>7000</v>
      </c>
      <c r="J384" s="36">
        <f t="shared" si="11"/>
        <v>0</v>
      </c>
      <c r="K384" s="48" t="s">
        <v>14</v>
      </c>
      <c r="L384" s="48" t="s">
        <v>14</v>
      </c>
      <c r="M384" s="38">
        <v>42916</v>
      </c>
      <c r="N384" s="48"/>
      <c r="O384" s="35">
        <v>7000</v>
      </c>
      <c r="P384" s="35"/>
      <c r="Q384" s="35"/>
      <c r="R384" s="35"/>
      <c r="S384" s="58"/>
      <c r="T384" s="58"/>
    </row>
    <row r="385" spans="1:20" s="15" customFormat="1" ht="26.25" customHeight="1" x14ac:dyDescent="0.2">
      <c r="A385" s="43" t="s">
        <v>1118</v>
      </c>
      <c r="B385" s="46" t="s">
        <v>31</v>
      </c>
      <c r="C385" s="44" t="s">
        <v>1123</v>
      </c>
      <c r="D385" s="47">
        <v>14717</v>
      </c>
      <c r="E385" s="46" t="s">
        <v>1128</v>
      </c>
      <c r="F385" s="35">
        <v>28750</v>
      </c>
      <c r="G385" s="35">
        <v>28750</v>
      </c>
      <c r="H385" s="35">
        <v>0</v>
      </c>
      <c r="I385" s="35">
        <f t="shared" si="10"/>
        <v>28750</v>
      </c>
      <c r="J385" s="36">
        <f t="shared" si="11"/>
        <v>0</v>
      </c>
      <c r="K385" s="48" t="s">
        <v>14</v>
      </c>
      <c r="L385" s="48" t="s">
        <v>14</v>
      </c>
      <c r="M385" s="38">
        <v>43100</v>
      </c>
      <c r="N385" s="48"/>
      <c r="O385" s="35">
        <v>28750</v>
      </c>
      <c r="P385" s="35"/>
      <c r="Q385" s="35"/>
      <c r="R385" s="35"/>
      <c r="S385" s="58"/>
      <c r="T385" s="58"/>
    </row>
    <row r="386" spans="1:20" s="15" customFormat="1" ht="26.25" customHeight="1" x14ac:dyDescent="0.2">
      <c r="A386" s="43" t="s">
        <v>121</v>
      </c>
      <c r="B386" s="46" t="s">
        <v>23</v>
      </c>
      <c r="C386" s="44" t="s">
        <v>40</v>
      </c>
      <c r="D386" s="54" t="s">
        <v>133</v>
      </c>
      <c r="E386" s="46" t="s">
        <v>44</v>
      </c>
      <c r="F386" s="35">
        <f>10719+10719</f>
        <v>21438</v>
      </c>
      <c r="G386" s="35">
        <v>26211</v>
      </c>
      <c r="H386" s="35">
        <f>10719*2</f>
        <v>21438</v>
      </c>
      <c r="I386" s="49">
        <f t="shared" ref="I386:I400" si="12">G386+H386</f>
        <v>47649</v>
      </c>
      <c r="J386" s="51">
        <f t="shared" ref="J386:J400" si="13">IF(G386=0,100%,(I386-G386)/G386)</f>
        <v>0.81790088130937388</v>
      </c>
      <c r="K386" s="48" t="s">
        <v>14</v>
      </c>
      <c r="L386" s="48" t="s">
        <v>14</v>
      </c>
      <c r="M386" s="38">
        <v>42916</v>
      </c>
      <c r="N386" s="48" t="s">
        <v>28</v>
      </c>
      <c r="O386" s="35">
        <v>10719</v>
      </c>
      <c r="P386" s="35">
        <v>10719</v>
      </c>
      <c r="Q386" s="35"/>
      <c r="R386" s="35"/>
      <c r="S386" s="58"/>
      <c r="T386" s="58"/>
    </row>
    <row r="387" spans="1:20" s="15" customFormat="1" ht="26.25" customHeight="1" x14ac:dyDescent="0.2">
      <c r="A387" s="43" t="s">
        <v>890</v>
      </c>
      <c r="B387" s="46" t="s">
        <v>23</v>
      </c>
      <c r="C387" s="44" t="s">
        <v>40</v>
      </c>
      <c r="D387" s="47">
        <v>14203</v>
      </c>
      <c r="E387" s="46" t="s">
        <v>895</v>
      </c>
      <c r="F387" s="35">
        <f>18000+18000</f>
        <v>36000</v>
      </c>
      <c r="G387" s="35">
        <v>36930</v>
      </c>
      <c r="H387" s="35">
        <f>18000+18000</f>
        <v>36000</v>
      </c>
      <c r="I387" s="35">
        <f t="shared" si="12"/>
        <v>72930</v>
      </c>
      <c r="J387" s="36">
        <f t="shared" si="13"/>
        <v>0.97481722177091801</v>
      </c>
      <c r="K387" s="48" t="s">
        <v>14</v>
      </c>
      <c r="L387" s="48" t="s">
        <v>14</v>
      </c>
      <c r="M387" s="38">
        <v>42916</v>
      </c>
      <c r="N387" s="48" t="s">
        <v>28</v>
      </c>
      <c r="O387" s="35">
        <v>18000</v>
      </c>
      <c r="P387" s="35">
        <v>18000</v>
      </c>
      <c r="Q387" s="35"/>
      <c r="R387" s="35"/>
      <c r="S387" s="58"/>
      <c r="T387" s="58"/>
    </row>
    <row r="388" spans="1:20" s="15" customFormat="1" ht="26.25" customHeight="1" x14ac:dyDescent="0.2">
      <c r="A388" s="43" t="s">
        <v>877</v>
      </c>
      <c r="B388" s="46" t="s">
        <v>23</v>
      </c>
      <c r="C388" s="44" t="s">
        <v>509</v>
      </c>
      <c r="D388" s="54" t="s">
        <v>881</v>
      </c>
      <c r="E388" s="46" t="s">
        <v>884</v>
      </c>
      <c r="F388" s="35">
        <f>7500+7500</f>
        <v>15000</v>
      </c>
      <c r="G388" s="35">
        <v>15000</v>
      </c>
      <c r="H388" s="35">
        <f>7500+7500</f>
        <v>15000</v>
      </c>
      <c r="I388" s="35">
        <f t="shared" si="12"/>
        <v>30000</v>
      </c>
      <c r="J388" s="36">
        <f t="shared" si="13"/>
        <v>1</v>
      </c>
      <c r="K388" s="48" t="s">
        <v>14</v>
      </c>
      <c r="L388" s="48" t="s">
        <v>14</v>
      </c>
      <c r="M388" s="38">
        <v>42916</v>
      </c>
      <c r="N388" s="48" t="s">
        <v>28</v>
      </c>
      <c r="O388" s="35">
        <v>7500</v>
      </c>
      <c r="P388" s="35">
        <v>7500</v>
      </c>
      <c r="Q388" s="35"/>
      <c r="R388" s="35"/>
      <c r="S388" s="58"/>
      <c r="T388" s="58"/>
    </row>
    <row r="389" spans="1:20" s="15" customFormat="1" ht="26.25" customHeight="1" x14ac:dyDescent="0.2">
      <c r="A389" s="43" t="s">
        <v>898</v>
      </c>
      <c r="B389" s="46" t="s">
        <v>23</v>
      </c>
      <c r="C389" s="44" t="s">
        <v>902</v>
      </c>
      <c r="D389" s="54" t="s">
        <v>906</v>
      </c>
      <c r="E389" s="46" t="s">
        <v>907</v>
      </c>
      <c r="F389" s="35">
        <f>8000+8000</f>
        <v>16000</v>
      </c>
      <c r="G389" s="35">
        <v>34577</v>
      </c>
      <c r="H389" s="35">
        <f>8000+8000</f>
        <v>16000</v>
      </c>
      <c r="I389" s="35">
        <f t="shared" si="12"/>
        <v>50577</v>
      </c>
      <c r="J389" s="36">
        <f t="shared" si="13"/>
        <v>0.46273534430401714</v>
      </c>
      <c r="K389" s="48" t="s">
        <v>14</v>
      </c>
      <c r="L389" s="48" t="s">
        <v>14</v>
      </c>
      <c r="M389" s="38">
        <v>42916</v>
      </c>
      <c r="N389" s="48" t="s">
        <v>28</v>
      </c>
      <c r="O389" s="35">
        <v>8000</v>
      </c>
      <c r="P389" s="35">
        <v>8000</v>
      </c>
      <c r="Q389" s="35"/>
      <c r="R389" s="35"/>
      <c r="S389" s="58"/>
      <c r="T389" s="58"/>
    </row>
    <row r="390" spans="1:20" s="15" customFormat="1" ht="26.25" customHeight="1" x14ac:dyDescent="0.2">
      <c r="A390" s="43" t="s">
        <v>1157</v>
      </c>
      <c r="B390" s="46" t="s">
        <v>23</v>
      </c>
      <c r="C390" s="44" t="s">
        <v>1164</v>
      </c>
      <c r="D390" s="47">
        <v>14890</v>
      </c>
      <c r="E390" s="46" t="s">
        <v>1175</v>
      </c>
      <c r="F390" s="35">
        <f>38886*3</f>
        <v>116658</v>
      </c>
      <c r="G390" s="35">
        <f>38886*3</f>
        <v>116658</v>
      </c>
      <c r="H390" s="35">
        <v>0</v>
      </c>
      <c r="I390" s="35">
        <f t="shared" si="12"/>
        <v>116658</v>
      </c>
      <c r="J390" s="36">
        <f t="shared" si="13"/>
        <v>0</v>
      </c>
      <c r="K390" s="48" t="s">
        <v>14</v>
      </c>
      <c r="L390" s="48" t="s">
        <v>15</v>
      </c>
      <c r="M390" s="38">
        <v>44012</v>
      </c>
      <c r="N390" s="48" t="s">
        <v>18</v>
      </c>
      <c r="O390" s="35"/>
      <c r="P390" s="35">
        <v>38886</v>
      </c>
      <c r="Q390" s="35">
        <v>38886</v>
      </c>
      <c r="R390" s="35">
        <v>38886</v>
      </c>
      <c r="S390" s="58"/>
      <c r="T390" s="58"/>
    </row>
    <row r="391" spans="1:20" s="15" customFormat="1" ht="26.25" customHeight="1" x14ac:dyDescent="0.2">
      <c r="A391" s="43" t="s">
        <v>122</v>
      </c>
      <c r="B391" s="46" t="s">
        <v>23</v>
      </c>
      <c r="C391" s="44" t="s">
        <v>41</v>
      </c>
      <c r="D391" s="47">
        <v>12957</v>
      </c>
      <c r="E391" s="46" t="s">
        <v>151</v>
      </c>
      <c r="F391" s="35">
        <v>15000</v>
      </c>
      <c r="G391" s="35">
        <v>15000</v>
      </c>
      <c r="H391" s="35">
        <v>0</v>
      </c>
      <c r="I391" s="49">
        <f t="shared" si="12"/>
        <v>15000</v>
      </c>
      <c r="J391" s="51">
        <f t="shared" si="13"/>
        <v>0</v>
      </c>
      <c r="K391" s="48" t="s">
        <v>14</v>
      </c>
      <c r="L391" s="48" t="s">
        <v>14</v>
      </c>
      <c r="M391" s="38">
        <v>42916</v>
      </c>
      <c r="N391" s="48"/>
      <c r="O391" s="35">
        <v>15000</v>
      </c>
      <c r="P391" s="35"/>
      <c r="Q391" s="35"/>
      <c r="R391" s="35"/>
      <c r="S391" s="58"/>
      <c r="T391" s="58"/>
    </row>
    <row r="392" spans="1:20" s="15" customFormat="1" ht="26.25" customHeight="1" x14ac:dyDescent="0.2">
      <c r="A392" s="43" t="s">
        <v>1106</v>
      </c>
      <c r="B392" s="46" t="s">
        <v>23</v>
      </c>
      <c r="C392" s="44" t="s">
        <v>1107</v>
      </c>
      <c r="D392" s="47">
        <v>14729</v>
      </c>
      <c r="E392" s="46" t="s">
        <v>1108</v>
      </c>
      <c r="F392" s="35">
        <v>60396</v>
      </c>
      <c r="G392" s="35">
        <v>710192</v>
      </c>
      <c r="H392" s="35">
        <f>125579+60396</f>
        <v>185975</v>
      </c>
      <c r="I392" s="35">
        <f t="shared" si="12"/>
        <v>896167</v>
      </c>
      <c r="J392" s="36">
        <f t="shared" si="13"/>
        <v>0.26186580530335457</v>
      </c>
      <c r="K392" s="48" t="s">
        <v>14</v>
      </c>
      <c r="L392" s="48" t="s">
        <v>14</v>
      </c>
      <c r="M392" s="38">
        <v>43359</v>
      </c>
      <c r="N392" s="48" t="s">
        <v>28</v>
      </c>
      <c r="O392" s="35"/>
      <c r="P392" s="35">
        <v>60396</v>
      </c>
      <c r="Q392" s="35"/>
      <c r="R392" s="35"/>
      <c r="S392" s="58"/>
      <c r="T392" s="58"/>
    </row>
    <row r="393" spans="1:20" s="15" customFormat="1" ht="26.25" customHeight="1" x14ac:dyDescent="0.2">
      <c r="A393" s="43" t="s">
        <v>120</v>
      </c>
      <c r="B393" s="46" t="s">
        <v>23</v>
      </c>
      <c r="C393" s="44" t="s">
        <v>47</v>
      </c>
      <c r="D393" s="54">
        <v>12936</v>
      </c>
      <c r="E393" s="46" t="s">
        <v>152</v>
      </c>
      <c r="F393" s="49">
        <f>20000*3</f>
        <v>60000</v>
      </c>
      <c r="G393" s="49">
        <f>20000*3</f>
        <v>60000</v>
      </c>
      <c r="H393" s="49">
        <v>0</v>
      </c>
      <c r="I393" s="49">
        <f t="shared" si="12"/>
        <v>60000</v>
      </c>
      <c r="J393" s="51">
        <f t="shared" si="13"/>
        <v>0</v>
      </c>
      <c r="K393" s="48" t="s">
        <v>14</v>
      </c>
      <c r="L393" s="48" t="s">
        <v>14</v>
      </c>
      <c r="M393" s="38">
        <v>42916</v>
      </c>
      <c r="N393" s="48" t="s">
        <v>18</v>
      </c>
      <c r="O393" s="41">
        <v>20000</v>
      </c>
      <c r="P393" s="41">
        <v>20000</v>
      </c>
      <c r="Q393" s="41">
        <v>20000</v>
      </c>
      <c r="R393" s="41"/>
      <c r="S393" s="58"/>
      <c r="T393" s="58"/>
    </row>
    <row r="394" spans="1:20" s="15" customFormat="1" ht="26.25" customHeight="1" x14ac:dyDescent="0.2">
      <c r="A394" s="43" t="s">
        <v>547</v>
      </c>
      <c r="B394" s="46" t="s">
        <v>35</v>
      </c>
      <c r="C394" s="44" t="s">
        <v>558</v>
      </c>
      <c r="D394" s="47">
        <v>13680</v>
      </c>
      <c r="E394" s="46" t="s">
        <v>567</v>
      </c>
      <c r="F394" s="35">
        <f>30000*3</f>
        <v>90000</v>
      </c>
      <c r="G394" s="35">
        <f>30000*3</f>
        <v>90000</v>
      </c>
      <c r="H394" s="35">
        <v>0</v>
      </c>
      <c r="I394" s="35">
        <f t="shared" si="12"/>
        <v>90000</v>
      </c>
      <c r="J394" s="36">
        <f t="shared" si="13"/>
        <v>0</v>
      </c>
      <c r="K394" s="48" t="s">
        <v>14</v>
      </c>
      <c r="L394" s="48" t="s">
        <v>14</v>
      </c>
      <c r="M394" s="38">
        <v>42916</v>
      </c>
      <c r="N394" s="48" t="s">
        <v>18</v>
      </c>
      <c r="O394" s="35">
        <v>30000</v>
      </c>
      <c r="P394" s="35">
        <v>30000</v>
      </c>
      <c r="Q394" s="35">
        <v>30000</v>
      </c>
      <c r="R394" s="35"/>
      <c r="S394" s="58"/>
      <c r="T394" s="58"/>
    </row>
    <row r="395" spans="1:20" s="15" customFormat="1" ht="26.25" customHeight="1" x14ac:dyDescent="0.2">
      <c r="A395" s="43" t="s">
        <v>106</v>
      </c>
      <c r="B395" s="46" t="s">
        <v>35</v>
      </c>
      <c r="C395" s="44" t="s">
        <v>125</v>
      </c>
      <c r="D395" s="47">
        <v>12823</v>
      </c>
      <c r="E395" s="46" t="s">
        <v>138</v>
      </c>
      <c r="F395" s="35">
        <v>9224</v>
      </c>
      <c r="G395" s="40">
        <v>9224</v>
      </c>
      <c r="H395" s="35">
        <v>0</v>
      </c>
      <c r="I395" s="49">
        <f t="shared" si="12"/>
        <v>9224</v>
      </c>
      <c r="J395" s="51">
        <f t="shared" si="13"/>
        <v>0</v>
      </c>
      <c r="K395" s="48" t="s">
        <v>14</v>
      </c>
      <c r="L395" s="48" t="s">
        <v>15</v>
      </c>
      <c r="M395" s="38">
        <v>42916</v>
      </c>
      <c r="N395" s="48"/>
      <c r="O395" s="41">
        <v>9224</v>
      </c>
      <c r="P395" s="41"/>
      <c r="Q395" s="41"/>
      <c r="R395" s="41"/>
      <c r="S395" s="58"/>
      <c r="T395" s="58"/>
    </row>
    <row r="396" spans="1:20" s="15" customFormat="1" ht="26.25" customHeight="1" x14ac:dyDescent="0.2">
      <c r="A396" s="43" t="s">
        <v>395</v>
      </c>
      <c r="B396" s="46" t="s">
        <v>35</v>
      </c>
      <c r="C396" s="44" t="s">
        <v>400</v>
      </c>
      <c r="D396" s="47">
        <v>13371</v>
      </c>
      <c r="E396" s="46" t="s">
        <v>402</v>
      </c>
      <c r="F396" s="35">
        <v>12450</v>
      </c>
      <c r="G396" s="35">
        <v>12450</v>
      </c>
      <c r="H396" s="35">
        <v>0</v>
      </c>
      <c r="I396" s="35">
        <f t="shared" si="12"/>
        <v>12450</v>
      </c>
      <c r="J396" s="36">
        <f t="shared" si="13"/>
        <v>0</v>
      </c>
      <c r="K396" s="48" t="s">
        <v>15</v>
      </c>
      <c r="L396" s="48" t="s">
        <v>15</v>
      </c>
      <c r="M396" s="38">
        <v>43084</v>
      </c>
      <c r="N396" s="48"/>
      <c r="O396" s="35">
        <v>12450</v>
      </c>
      <c r="P396" s="35"/>
      <c r="Q396" s="35"/>
      <c r="R396" s="35"/>
      <c r="S396" s="58"/>
      <c r="T396" s="58"/>
    </row>
    <row r="397" spans="1:20" s="15" customFormat="1" ht="26.25" customHeight="1" x14ac:dyDescent="0.2">
      <c r="A397" s="43" t="s">
        <v>753</v>
      </c>
      <c r="B397" s="46" t="s">
        <v>35</v>
      </c>
      <c r="C397" s="44" t="s">
        <v>400</v>
      </c>
      <c r="D397" s="47">
        <v>13898</v>
      </c>
      <c r="E397" s="46" t="s">
        <v>402</v>
      </c>
      <c r="F397" s="35">
        <v>18000</v>
      </c>
      <c r="G397" s="35">
        <v>18000</v>
      </c>
      <c r="H397" s="35">
        <v>0</v>
      </c>
      <c r="I397" s="35">
        <f t="shared" si="12"/>
        <v>18000</v>
      </c>
      <c r="J397" s="36">
        <f t="shared" si="13"/>
        <v>0</v>
      </c>
      <c r="K397" s="48" t="s">
        <v>15</v>
      </c>
      <c r="L397" s="48" t="s">
        <v>15</v>
      </c>
      <c r="M397" s="38">
        <v>43191</v>
      </c>
      <c r="N397" s="48"/>
      <c r="O397" s="35">
        <v>18000</v>
      </c>
      <c r="P397" s="35"/>
      <c r="Q397" s="35"/>
      <c r="R397" s="35"/>
      <c r="S397" s="58"/>
      <c r="T397" s="58"/>
    </row>
    <row r="398" spans="1:20" s="15" customFormat="1" ht="26.25" customHeight="1" x14ac:dyDescent="0.2">
      <c r="A398" s="43" t="s">
        <v>102</v>
      </c>
      <c r="B398" s="46" t="s">
        <v>35</v>
      </c>
      <c r="C398" s="44" t="s">
        <v>39</v>
      </c>
      <c r="D398" s="54" t="s">
        <v>132</v>
      </c>
      <c r="E398" s="46" t="s">
        <v>135</v>
      </c>
      <c r="F398" s="35">
        <f>8000+8000</f>
        <v>16000</v>
      </c>
      <c r="G398" s="40">
        <v>17000</v>
      </c>
      <c r="H398" s="35">
        <f>8000+8000</f>
        <v>16000</v>
      </c>
      <c r="I398" s="49">
        <f t="shared" si="12"/>
        <v>33000</v>
      </c>
      <c r="J398" s="51">
        <f t="shared" si="13"/>
        <v>0.94117647058823528</v>
      </c>
      <c r="K398" s="48" t="s">
        <v>14</v>
      </c>
      <c r="L398" s="48" t="s">
        <v>14</v>
      </c>
      <c r="M398" s="38">
        <v>42916</v>
      </c>
      <c r="N398" s="48" t="s">
        <v>28</v>
      </c>
      <c r="O398" s="41">
        <f>8000</f>
        <v>8000</v>
      </c>
      <c r="P398" s="41">
        <v>8000</v>
      </c>
      <c r="Q398" s="41"/>
      <c r="R398" s="41"/>
      <c r="S398" s="58"/>
      <c r="T398" s="58"/>
    </row>
    <row r="399" spans="1:20" s="15" customFormat="1" ht="26.25" customHeight="1" x14ac:dyDescent="0.2">
      <c r="A399" s="43" t="s">
        <v>1152</v>
      </c>
      <c r="B399" s="46" t="s">
        <v>35</v>
      </c>
      <c r="C399" s="44" t="s">
        <v>1161</v>
      </c>
      <c r="D399" s="47">
        <v>14703</v>
      </c>
      <c r="E399" s="46" t="s">
        <v>1170</v>
      </c>
      <c r="F399" s="35">
        <v>11467</v>
      </c>
      <c r="G399" s="35">
        <v>11467</v>
      </c>
      <c r="H399" s="35">
        <v>0</v>
      </c>
      <c r="I399" s="35">
        <f t="shared" si="12"/>
        <v>11467</v>
      </c>
      <c r="J399" s="36">
        <f t="shared" si="13"/>
        <v>0</v>
      </c>
      <c r="K399" s="48" t="s">
        <v>14</v>
      </c>
      <c r="L399" s="48" t="s">
        <v>15</v>
      </c>
      <c r="M399" s="38">
        <v>43297</v>
      </c>
      <c r="N399" s="48"/>
      <c r="O399" s="35"/>
      <c r="P399" s="35">
        <v>11467</v>
      </c>
      <c r="Q399" s="35"/>
      <c r="R399" s="35"/>
      <c r="S399" s="58"/>
      <c r="T399" s="58"/>
    </row>
    <row r="400" spans="1:20" s="15" customFormat="1" ht="26.25" customHeight="1" x14ac:dyDescent="0.2">
      <c r="A400" s="43" t="s">
        <v>101</v>
      </c>
      <c r="B400" s="46" t="s">
        <v>35</v>
      </c>
      <c r="C400" s="44" t="s">
        <v>123</v>
      </c>
      <c r="D400" s="34">
        <v>12536</v>
      </c>
      <c r="E400" s="46" t="s">
        <v>134</v>
      </c>
      <c r="F400" s="35">
        <f>5039*3</f>
        <v>15117</v>
      </c>
      <c r="G400" s="35">
        <f>5039*3</f>
        <v>15117</v>
      </c>
      <c r="H400" s="35">
        <v>0</v>
      </c>
      <c r="I400" s="49">
        <f t="shared" si="12"/>
        <v>15117</v>
      </c>
      <c r="J400" s="51">
        <f t="shared" si="13"/>
        <v>0</v>
      </c>
      <c r="K400" s="48" t="s">
        <v>14</v>
      </c>
      <c r="L400" s="48" t="s">
        <v>14</v>
      </c>
      <c r="M400" s="38">
        <v>42916</v>
      </c>
      <c r="N400" s="48" t="s">
        <v>18</v>
      </c>
      <c r="O400" s="41">
        <v>5039</v>
      </c>
      <c r="P400" s="41">
        <v>5039</v>
      </c>
      <c r="Q400" s="41">
        <v>5039</v>
      </c>
      <c r="R400" s="41"/>
      <c r="S400" s="58"/>
      <c r="T400" s="58"/>
    </row>
    <row r="401" spans="1:20" s="15" customFormat="1" ht="18" customHeight="1" x14ac:dyDescent="0.2">
      <c r="A401" s="43" t="s">
        <v>443</v>
      </c>
      <c r="B401" s="46" t="s">
        <v>820</v>
      </c>
      <c r="C401" s="44"/>
      <c r="D401" s="34"/>
      <c r="E401" s="46"/>
      <c r="F401" s="35"/>
      <c r="G401" s="35"/>
      <c r="H401" s="35"/>
      <c r="I401" s="49"/>
      <c r="J401" s="51"/>
      <c r="K401" s="48"/>
      <c r="L401" s="48"/>
      <c r="M401" s="38"/>
      <c r="N401" s="48"/>
      <c r="O401" s="41"/>
      <c r="P401" s="41"/>
      <c r="Q401" s="41"/>
      <c r="R401" s="41"/>
      <c r="S401" s="58"/>
      <c r="T401" s="58"/>
    </row>
    <row r="402" spans="1:20" s="15" customFormat="1" ht="26.25" customHeight="1" x14ac:dyDescent="0.2">
      <c r="A402" s="43"/>
      <c r="B402" s="46"/>
      <c r="C402" s="44"/>
      <c r="D402" s="34"/>
      <c r="E402" s="46"/>
      <c r="F402" s="35"/>
      <c r="G402" s="40"/>
      <c r="H402" s="35"/>
      <c r="I402" s="35"/>
      <c r="J402" s="36"/>
      <c r="K402" s="48"/>
      <c r="L402" s="37"/>
      <c r="M402" s="38"/>
      <c r="N402" s="37"/>
      <c r="O402" s="35"/>
      <c r="P402" s="35"/>
      <c r="Q402" s="35"/>
      <c r="R402" s="35"/>
      <c r="S402" s="58"/>
      <c r="T402" s="58"/>
    </row>
    <row r="403" spans="1:20" s="20" customFormat="1" ht="26.25" customHeight="1" x14ac:dyDescent="0.2">
      <c r="A403" s="14"/>
      <c r="B403" s="27"/>
      <c r="C403" s="33"/>
      <c r="D403" s="33"/>
      <c r="E403" s="11" t="s">
        <v>4</v>
      </c>
      <c r="F403" s="26">
        <f>SUM(F2:F402)</f>
        <v>28613348</v>
      </c>
      <c r="G403" s="26">
        <f>SUM(G2:G402)</f>
        <v>31178009</v>
      </c>
      <c r="H403" s="26">
        <f>SUM(H2:H402)</f>
        <v>3574141</v>
      </c>
      <c r="I403" s="26">
        <f>SUM(I2:I402)</f>
        <v>34752150</v>
      </c>
      <c r="J403" s="16"/>
      <c r="K403" s="17"/>
      <c r="L403" s="17"/>
      <c r="M403" s="18"/>
      <c r="N403" s="17"/>
      <c r="O403" s="26">
        <f t="shared" ref="O403:T403" si="14">SUM(O2:O402)</f>
        <v>15226058</v>
      </c>
      <c r="P403" s="26">
        <f t="shared" si="14"/>
        <v>7103287</v>
      </c>
      <c r="Q403" s="26">
        <f t="shared" si="14"/>
        <v>6091012</v>
      </c>
      <c r="R403" s="26">
        <f t="shared" si="14"/>
        <v>162991</v>
      </c>
      <c r="S403" s="26">
        <f t="shared" si="14"/>
        <v>15000</v>
      </c>
      <c r="T403" s="26">
        <f t="shared" si="14"/>
        <v>15000</v>
      </c>
    </row>
    <row r="404" spans="1:20" s="20" customFormat="1" ht="26.25" customHeight="1" x14ac:dyDescent="0.2">
      <c r="A404" s="21"/>
      <c r="B404" s="22"/>
      <c r="C404" s="23"/>
      <c r="D404" s="23"/>
      <c r="E404" s="22"/>
      <c r="F404" s="19"/>
      <c r="G404" s="19"/>
      <c r="H404" s="19"/>
      <c r="J404" s="24"/>
      <c r="K404" s="25"/>
      <c r="L404" s="25"/>
      <c r="N404" s="25"/>
    </row>
    <row r="405" spans="1:20" ht="26.25" customHeight="1" x14ac:dyDescent="0.2">
      <c r="A405" s="30"/>
      <c r="B405" s="31"/>
      <c r="C405" s="4"/>
      <c r="F405" s="19"/>
      <c r="G405" s="19"/>
      <c r="H405" s="19"/>
      <c r="I405" s="20"/>
      <c r="O405" s="28"/>
      <c r="P405" s="28"/>
    </row>
    <row r="406" spans="1:20" x14ac:dyDescent="0.2">
      <c r="C406" s="4"/>
    </row>
    <row r="407" spans="1:20" x14ac:dyDescent="0.2">
      <c r="C407" s="4"/>
      <c r="O407" s="28"/>
      <c r="P407" s="28"/>
    </row>
    <row r="408" spans="1:20" x14ac:dyDescent="0.2">
      <c r="C408" s="4"/>
    </row>
    <row r="409" spans="1:20" x14ac:dyDescent="0.2">
      <c r="C409" s="4"/>
      <c r="G409" s="32"/>
      <c r="O409" s="29"/>
      <c r="P409" s="29"/>
    </row>
    <row r="410" spans="1:20" x14ac:dyDescent="0.2">
      <c r="C410" s="4"/>
      <c r="Q410" s="53"/>
      <c r="R410" s="53"/>
    </row>
    <row r="411" spans="1:20" x14ac:dyDescent="0.2">
      <c r="C411" s="4"/>
    </row>
    <row r="412" spans="1:20" x14ac:dyDescent="0.2">
      <c r="C412" s="4"/>
    </row>
    <row r="413" spans="1:20" x14ac:dyDescent="0.2">
      <c r="C413" s="4"/>
    </row>
    <row r="414" spans="1:20" x14ac:dyDescent="0.2">
      <c r="C414" s="4"/>
    </row>
    <row r="415" spans="1:20" x14ac:dyDescent="0.2">
      <c r="C415" s="4"/>
    </row>
    <row r="416" spans="1:20" x14ac:dyDescent="0.2">
      <c r="C416" s="4"/>
    </row>
    <row r="417" spans="1:20" s="4" customFormat="1" x14ac:dyDescent="0.2">
      <c r="A417" s="12"/>
      <c r="B417" s="2"/>
      <c r="E417" s="2"/>
      <c r="F417" s="3"/>
      <c r="G417" s="3"/>
      <c r="H417" s="3"/>
      <c r="I417"/>
      <c r="J417" s="5"/>
      <c r="K417" s="1"/>
      <c r="L417" s="1"/>
      <c r="M417"/>
      <c r="N417" s="1"/>
      <c r="O417"/>
      <c r="P417"/>
      <c r="Q417"/>
      <c r="R417"/>
      <c r="S417"/>
      <c r="T417"/>
    </row>
    <row r="418" spans="1:20" s="4" customFormat="1" x14ac:dyDescent="0.2">
      <c r="A418" s="12"/>
      <c r="B418" s="2"/>
      <c r="E418" s="2"/>
      <c r="F418" s="3"/>
      <c r="G418" s="3"/>
      <c r="H418" s="3"/>
      <c r="I418"/>
      <c r="J418" s="5"/>
      <c r="K418" s="1"/>
      <c r="L418" s="1"/>
      <c r="M418"/>
      <c r="N418" s="1"/>
      <c r="O418"/>
      <c r="P418"/>
      <c r="Q418"/>
      <c r="R418"/>
      <c r="S418"/>
      <c r="T418"/>
    </row>
    <row r="419" spans="1:20" s="4" customFormat="1" x14ac:dyDescent="0.2">
      <c r="A419" s="12"/>
      <c r="B419" s="2"/>
      <c r="E419" s="2"/>
      <c r="F419" s="3"/>
      <c r="G419" s="3"/>
      <c r="H419" s="3"/>
      <c r="I419"/>
      <c r="J419" s="5"/>
      <c r="K419" s="1"/>
      <c r="L419" s="1"/>
      <c r="M419"/>
      <c r="N419" s="1"/>
      <c r="O419"/>
      <c r="P419"/>
      <c r="Q419"/>
      <c r="R419"/>
      <c r="S419"/>
      <c r="T419"/>
    </row>
    <row r="420" spans="1:20" s="4" customFormat="1" x14ac:dyDescent="0.2">
      <c r="A420" s="12"/>
      <c r="B420" s="2"/>
      <c r="E420" s="2"/>
      <c r="F420" s="3"/>
      <c r="G420" s="3"/>
      <c r="H420" s="3"/>
      <c r="I420"/>
      <c r="J420" s="5"/>
      <c r="K420" s="1"/>
      <c r="L420" s="1"/>
      <c r="M420"/>
      <c r="N420" s="1"/>
      <c r="O420"/>
      <c r="P420"/>
      <c r="Q420"/>
      <c r="R420"/>
      <c r="S420"/>
      <c r="T420"/>
    </row>
    <row r="421" spans="1:20" s="4" customFormat="1" x14ac:dyDescent="0.2">
      <c r="A421" s="12"/>
      <c r="B421" s="2"/>
      <c r="E421" s="2"/>
      <c r="F421" s="3"/>
      <c r="G421" s="3"/>
      <c r="H421" s="3"/>
      <c r="I421"/>
      <c r="J421" s="5"/>
      <c r="K421" s="1"/>
      <c r="L421" s="1"/>
      <c r="M421"/>
      <c r="N421" s="1"/>
      <c r="O421"/>
      <c r="P421"/>
      <c r="Q421"/>
      <c r="R421"/>
      <c r="S421"/>
      <c r="T421"/>
    </row>
    <row r="422" spans="1:20" s="4" customFormat="1" x14ac:dyDescent="0.2">
      <c r="A422" s="12"/>
      <c r="B422" s="2"/>
      <c r="E422" s="2"/>
      <c r="F422" s="3"/>
      <c r="G422" s="3"/>
      <c r="H422" s="3"/>
      <c r="I422"/>
      <c r="J422" s="5"/>
      <c r="K422" s="1"/>
      <c r="L422" s="1"/>
      <c r="M422"/>
      <c r="N422" s="1"/>
      <c r="O422"/>
      <c r="P422"/>
      <c r="Q422"/>
      <c r="R422"/>
      <c r="S422"/>
      <c r="T422"/>
    </row>
    <row r="423" spans="1:20" s="4" customFormat="1" x14ac:dyDescent="0.2">
      <c r="A423" s="12"/>
      <c r="B423" s="2"/>
      <c r="E423" s="2"/>
      <c r="F423" s="3"/>
      <c r="G423" s="3"/>
      <c r="H423" s="3"/>
      <c r="I423"/>
      <c r="J423" s="5"/>
      <c r="K423" s="1"/>
      <c r="L423" s="1"/>
      <c r="M423"/>
      <c r="N423" s="1"/>
      <c r="O423"/>
      <c r="P423"/>
      <c r="Q423"/>
      <c r="R423"/>
      <c r="S423"/>
      <c r="T423"/>
    </row>
    <row r="424" spans="1:20" s="4" customFormat="1" x14ac:dyDescent="0.2">
      <c r="A424" s="12"/>
      <c r="B424" s="2"/>
      <c r="E424" s="2"/>
      <c r="F424" s="3"/>
      <c r="G424" s="3"/>
      <c r="H424" s="3"/>
      <c r="I424"/>
      <c r="J424" s="5"/>
      <c r="K424" s="1"/>
      <c r="L424" s="1"/>
      <c r="M424"/>
      <c r="N424" s="1"/>
      <c r="O424"/>
      <c r="P424"/>
      <c r="Q424"/>
      <c r="R424"/>
      <c r="S424"/>
      <c r="T424"/>
    </row>
    <row r="425" spans="1:20" s="4" customFormat="1" x14ac:dyDescent="0.2">
      <c r="A425" s="12"/>
      <c r="B425" s="2"/>
      <c r="E425" s="2"/>
      <c r="F425" s="3"/>
      <c r="G425" s="3"/>
      <c r="H425" s="3"/>
      <c r="I425"/>
      <c r="J425" s="5"/>
      <c r="K425" s="1"/>
      <c r="L425" s="1"/>
      <c r="M425"/>
      <c r="N425" s="1"/>
      <c r="O425"/>
      <c r="P425"/>
      <c r="Q425"/>
      <c r="R425"/>
      <c r="S425"/>
      <c r="T425"/>
    </row>
    <row r="426" spans="1:20" s="4" customFormat="1" x14ac:dyDescent="0.2">
      <c r="A426" s="12"/>
      <c r="B426" s="2"/>
      <c r="E426" s="2"/>
      <c r="F426" s="3"/>
      <c r="G426" s="3"/>
      <c r="H426" s="3"/>
      <c r="I426"/>
      <c r="J426" s="5"/>
      <c r="K426" s="1"/>
      <c r="L426" s="1"/>
      <c r="M426"/>
      <c r="N426" s="1"/>
      <c r="O426"/>
      <c r="P426"/>
      <c r="Q426"/>
      <c r="R426"/>
      <c r="S426"/>
      <c r="T426"/>
    </row>
    <row r="427" spans="1:20" s="4" customFormat="1" x14ac:dyDescent="0.2">
      <c r="A427" s="12"/>
      <c r="B427" s="2"/>
      <c r="E427" s="2"/>
      <c r="F427" s="3"/>
      <c r="G427" s="3"/>
      <c r="H427" s="3"/>
      <c r="I427"/>
      <c r="J427" s="5"/>
      <c r="K427" s="1"/>
      <c r="L427" s="1"/>
      <c r="M427"/>
      <c r="N427" s="1"/>
      <c r="O427"/>
      <c r="P427"/>
      <c r="Q427"/>
      <c r="R427"/>
      <c r="S427"/>
      <c r="T427"/>
    </row>
    <row r="428" spans="1:20" s="4" customFormat="1" x14ac:dyDescent="0.2">
      <c r="A428" s="12"/>
      <c r="B428" s="2"/>
      <c r="E428" s="2"/>
      <c r="F428" s="3"/>
      <c r="G428" s="3"/>
      <c r="H428" s="3"/>
      <c r="I428"/>
      <c r="J428" s="5"/>
      <c r="K428" s="1"/>
      <c r="L428" s="1"/>
      <c r="M428"/>
      <c r="N428" s="1"/>
      <c r="O428"/>
      <c r="P428"/>
      <c r="Q428"/>
      <c r="R428"/>
      <c r="S428"/>
      <c r="T428"/>
    </row>
    <row r="429" spans="1:20" s="4" customFormat="1" x14ac:dyDescent="0.2">
      <c r="A429" s="12"/>
      <c r="B429" s="2"/>
      <c r="E429" s="2"/>
      <c r="F429" s="3"/>
      <c r="G429" s="3"/>
      <c r="H429" s="3"/>
      <c r="I429"/>
      <c r="J429" s="5"/>
      <c r="K429" s="1"/>
      <c r="L429" s="1"/>
      <c r="M429"/>
      <c r="N429" s="1"/>
      <c r="O429"/>
      <c r="P429"/>
      <c r="Q429"/>
      <c r="R429"/>
      <c r="S429"/>
      <c r="T429"/>
    </row>
    <row r="430" spans="1:20" s="4" customFormat="1" x14ac:dyDescent="0.2">
      <c r="A430" s="12"/>
      <c r="B430" s="2"/>
      <c r="E430" s="2"/>
      <c r="F430" s="3"/>
      <c r="G430" s="3"/>
      <c r="H430" s="3"/>
      <c r="I430"/>
      <c r="J430" s="5"/>
      <c r="K430" s="1"/>
      <c r="L430" s="1"/>
      <c r="M430"/>
      <c r="N430" s="1"/>
      <c r="O430"/>
      <c r="P430"/>
      <c r="Q430"/>
      <c r="R430"/>
      <c r="S430"/>
      <c r="T430"/>
    </row>
    <row r="431" spans="1:20" s="4" customFormat="1" x14ac:dyDescent="0.2">
      <c r="A431" s="12"/>
      <c r="B431" s="2"/>
      <c r="E431" s="2"/>
      <c r="F431" s="3"/>
      <c r="G431" s="3"/>
      <c r="H431" s="3"/>
      <c r="I431"/>
      <c r="J431" s="5"/>
      <c r="K431" s="1"/>
      <c r="L431" s="1"/>
      <c r="M431"/>
      <c r="N431" s="1"/>
      <c r="O431"/>
      <c r="P431"/>
      <c r="Q431"/>
      <c r="R431"/>
      <c r="S431"/>
      <c r="T431"/>
    </row>
    <row r="432" spans="1:20" s="4" customFormat="1" x14ac:dyDescent="0.2">
      <c r="A432" s="12"/>
      <c r="B432" s="2"/>
      <c r="E432" s="2"/>
      <c r="F432" s="3"/>
      <c r="G432" s="3"/>
      <c r="H432" s="3"/>
      <c r="I432"/>
      <c r="J432" s="5"/>
      <c r="K432" s="1"/>
      <c r="L432" s="1"/>
      <c r="M432"/>
      <c r="N432" s="1"/>
      <c r="O432"/>
      <c r="P432"/>
      <c r="Q432"/>
      <c r="R432"/>
      <c r="S432"/>
      <c r="T432"/>
    </row>
    <row r="433" spans="1:20" s="4" customFormat="1" x14ac:dyDescent="0.2">
      <c r="A433" s="12"/>
      <c r="B433" s="2"/>
      <c r="E433" s="2"/>
      <c r="F433" s="3"/>
      <c r="G433" s="3"/>
      <c r="H433" s="3"/>
      <c r="I433"/>
      <c r="J433" s="5"/>
      <c r="K433" s="1"/>
      <c r="L433" s="1"/>
      <c r="M433"/>
      <c r="N433" s="1"/>
      <c r="O433"/>
      <c r="P433"/>
      <c r="Q433"/>
      <c r="R433"/>
      <c r="S433"/>
      <c r="T433"/>
    </row>
    <row r="434" spans="1:20" s="4" customFormat="1" x14ac:dyDescent="0.2">
      <c r="A434" s="12"/>
      <c r="B434" s="2"/>
      <c r="E434" s="2"/>
      <c r="F434" s="3"/>
      <c r="G434" s="3"/>
      <c r="H434" s="3"/>
      <c r="I434"/>
      <c r="J434" s="5"/>
      <c r="K434" s="1"/>
      <c r="L434" s="1"/>
      <c r="M434"/>
      <c r="N434" s="1"/>
      <c r="O434"/>
      <c r="P434"/>
      <c r="Q434"/>
      <c r="R434"/>
      <c r="S434"/>
      <c r="T434"/>
    </row>
    <row r="435" spans="1:20" s="4" customFormat="1" x14ac:dyDescent="0.2">
      <c r="A435" s="12"/>
      <c r="B435" s="2"/>
      <c r="E435" s="2"/>
      <c r="F435" s="3"/>
      <c r="G435" s="3"/>
      <c r="H435" s="3"/>
      <c r="I435"/>
      <c r="J435" s="5"/>
      <c r="K435" s="1"/>
      <c r="L435" s="1"/>
      <c r="M435"/>
      <c r="N435" s="1"/>
      <c r="O435"/>
      <c r="P435"/>
      <c r="Q435"/>
      <c r="R435"/>
      <c r="S435"/>
      <c r="T435"/>
    </row>
    <row r="436" spans="1:20" s="4" customFormat="1" x14ac:dyDescent="0.2">
      <c r="A436" s="12"/>
      <c r="B436" s="2"/>
      <c r="E436" s="2"/>
      <c r="F436" s="3"/>
      <c r="G436" s="3"/>
      <c r="H436" s="3"/>
      <c r="I436"/>
      <c r="J436" s="5"/>
      <c r="K436" s="1"/>
      <c r="L436" s="1"/>
      <c r="M436"/>
      <c r="N436" s="1"/>
      <c r="O436"/>
      <c r="P436"/>
      <c r="Q436"/>
      <c r="R436"/>
      <c r="S436"/>
      <c r="T436"/>
    </row>
    <row r="437" spans="1:20" s="4" customFormat="1" x14ac:dyDescent="0.2">
      <c r="A437" s="12"/>
      <c r="B437" s="2"/>
      <c r="E437" s="2"/>
      <c r="F437" s="3"/>
      <c r="G437" s="3"/>
      <c r="H437" s="3"/>
      <c r="I437"/>
      <c r="J437" s="5"/>
      <c r="K437" s="1"/>
      <c r="L437" s="1"/>
      <c r="M437"/>
      <c r="N437" s="1"/>
      <c r="O437"/>
      <c r="P437"/>
      <c r="Q437"/>
      <c r="R437"/>
      <c r="S437"/>
      <c r="T437"/>
    </row>
    <row r="438" spans="1:20" s="4" customFormat="1" x14ac:dyDescent="0.2">
      <c r="A438" s="12"/>
      <c r="B438" s="2"/>
      <c r="E438" s="2"/>
      <c r="F438" s="3"/>
      <c r="G438" s="3"/>
      <c r="H438" s="3"/>
      <c r="I438"/>
      <c r="J438" s="5"/>
      <c r="K438" s="1"/>
      <c r="L438" s="1"/>
      <c r="M438"/>
      <c r="N438" s="1"/>
      <c r="O438"/>
      <c r="P438"/>
      <c r="Q438"/>
      <c r="R438"/>
      <c r="S438"/>
      <c r="T438"/>
    </row>
    <row r="439" spans="1:20" s="4" customFormat="1" x14ac:dyDescent="0.2">
      <c r="A439" s="12"/>
      <c r="B439" s="2"/>
      <c r="E439" s="2"/>
      <c r="F439" s="3"/>
      <c r="G439" s="3"/>
      <c r="H439" s="3"/>
      <c r="I439"/>
      <c r="J439" s="5"/>
      <c r="K439" s="1"/>
      <c r="L439" s="1"/>
      <c r="M439"/>
      <c r="N439" s="1"/>
      <c r="O439"/>
      <c r="P439"/>
      <c r="Q439"/>
      <c r="R439"/>
      <c r="S439"/>
      <c r="T439"/>
    </row>
    <row r="440" spans="1:20" s="4" customFormat="1" x14ac:dyDescent="0.2">
      <c r="A440" s="12"/>
      <c r="B440" s="2"/>
      <c r="E440" s="2"/>
      <c r="F440" s="3"/>
      <c r="G440" s="3"/>
      <c r="H440" s="3"/>
      <c r="I440"/>
      <c r="J440" s="5"/>
      <c r="K440" s="1"/>
      <c r="L440" s="1"/>
      <c r="M440"/>
      <c r="N440" s="1"/>
      <c r="O440"/>
      <c r="P440"/>
      <c r="Q440"/>
      <c r="R440"/>
      <c r="S440"/>
      <c r="T440"/>
    </row>
    <row r="441" spans="1:20" s="4" customFormat="1" x14ac:dyDescent="0.2">
      <c r="A441" s="12"/>
      <c r="B441" s="2"/>
      <c r="E441" s="2"/>
      <c r="F441" s="3"/>
      <c r="G441" s="3"/>
      <c r="H441" s="3"/>
      <c r="I441"/>
      <c r="J441" s="5"/>
      <c r="K441" s="1"/>
      <c r="L441" s="1"/>
      <c r="M441"/>
      <c r="N441" s="1"/>
      <c r="O441"/>
      <c r="P441"/>
      <c r="Q441"/>
      <c r="R441"/>
      <c r="S441"/>
      <c r="T441"/>
    </row>
    <row r="442" spans="1:20" s="4" customFormat="1" x14ac:dyDescent="0.2">
      <c r="A442" s="12"/>
      <c r="B442" s="2"/>
      <c r="E442" s="2"/>
      <c r="F442" s="3"/>
      <c r="G442" s="3"/>
      <c r="H442" s="3"/>
      <c r="I442"/>
      <c r="J442" s="5"/>
      <c r="K442" s="1"/>
      <c r="L442" s="1"/>
      <c r="M442"/>
      <c r="N442" s="1"/>
      <c r="O442"/>
      <c r="P442"/>
      <c r="Q442"/>
      <c r="R442"/>
      <c r="S442"/>
      <c r="T442"/>
    </row>
    <row r="443" spans="1:20" s="4" customFormat="1" x14ac:dyDescent="0.2">
      <c r="A443" s="12"/>
      <c r="B443" s="2"/>
      <c r="E443" s="2"/>
      <c r="F443" s="3"/>
      <c r="G443" s="3"/>
      <c r="H443" s="3"/>
      <c r="I443"/>
      <c r="J443" s="5"/>
      <c r="K443" s="1"/>
      <c r="L443" s="1"/>
      <c r="M443"/>
      <c r="N443" s="1"/>
      <c r="O443"/>
      <c r="P443"/>
      <c r="Q443"/>
      <c r="R443"/>
      <c r="S443"/>
      <c r="T443"/>
    </row>
    <row r="444" spans="1:20" s="4" customFormat="1" x14ac:dyDescent="0.2">
      <c r="A444" s="12"/>
      <c r="B444" s="2"/>
      <c r="E444" s="2"/>
      <c r="F444" s="3"/>
      <c r="G444" s="3"/>
      <c r="H444" s="3"/>
      <c r="I444"/>
      <c r="J444" s="5"/>
      <c r="K444" s="1"/>
      <c r="L444" s="1"/>
      <c r="M444"/>
      <c r="N444" s="1"/>
      <c r="O444"/>
      <c r="P444"/>
      <c r="Q444"/>
      <c r="R444"/>
      <c r="S444"/>
      <c r="T444"/>
    </row>
    <row r="445" spans="1:20" s="4" customFormat="1" x14ac:dyDescent="0.2">
      <c r="A445" s="12"/>
      <c r="B445" s="2"/>
      <c r="E445" s="2"/>
      <c r="F445" s="3"/>
      <c r="G445" s="3"/>
      <c r="H445" s="3"/>
      <c r="I445"/>
      <c r="J445" s="5"/>
      <c r="K445" s="1"/>
      <c r="L445" s="1"/>
      <c r="M445"/>
      <c r="N445" s="1"/>
      <c r="O445"/>
      <c r="P445"/>
      <c r="Q445"/>
      <c r="R445"/>
      <c r="S445"/>
      <c r="T445"/>
    </row>
    <row r="446" spans="1:20" s="4" customFormat="1" x14ac:dyDescent="0.2">
      <c r="A446" s="12"/>
      <c r="B446" s="2"/>
      <c r="E446" s="2"/>
      <c r="F446" s="3"/>
      <c r="G446" s="3"/>
      <c r="H446" s="3"/>
      <c r="I446"/>
      <c r="J446" s="5"/>
      <c r="K446" s="1"/>
      <c r="L446" s="1"/>
      <c r="M446"/>
      <c r="N446" s="1"/>
      <c r="O446"/>
      <c r="P446"/>
      <c r="Q446"/>
      <c r="R446"/>
      <c r="S446"/>
      <c r="T446"/>
    </row>
    <row r="447" spans="1:20" s="4" customFormat="1" x14ac:dyDescent="0.2">
      <c r="A447" s="12"/>
      <c r="B447" s="2"/>
      <c r="E447" s="2"/>
      <c r="F447" s="3"/>
      <c r="G447" s="3"/>
      <c r="H447" s="3"/>
      <c r="I447"/>
      <c r="J447" s="5"/>
      <c r="K447" s="1"/>
      <c r="L447" s="1"/>
      <c r="M447"/>
      <c r="N447" s="1"/>
      <c r="O447"/>
      <c r="P447"/>
      <c r="Q447"/>
      <c r="R447"/>
      <c r="S447"/>
      <c r="T447"/>
    </row>
    <row r="448" spans="1:20" s="4" customFormat="1" x14ac:dyDescent="0.2">
      <c r="A448" s="12"/>
      <c r="B448" s="2"/>
      <c r="E448" s="2"/>
      <c r="F448" s="3"/>
      <c r="G448" s="3"/>
      <c r="H448" s="3"/>
      <c r="I448"/>
      <c r="J448" s="5"/>
      <c r="K448" s="1"/>
      <c r="L448" s="1"/>
      <c r="M448"/>
      <c r="N448" s="1"/>
      <c r="O448"/>
      <c r="P448"/>
      <c r="Q448"/>
      <c r="R448"/>
      <c r="S448"/>
      <c r="T448"/>
    </row>
    <row r="449" spans="1:20" s="4" customFormat="1" x14ac:dyDescent="0.2">
      <c r="A449" s="12"/>
      <c r="B449" s="2"/>
      <c r="E449" s="2"/>
      <c r="F449" s="3"/>
      <c r="G449" s="3"/>
      <c r="H449" s="3"/>
      <c r="I449"/>
      <c r="J449" s="5"/>
      <c r="K449" s="1"/>
      <c r="L449" s="1"/>
      <c r="M449"/>
      <c r="N449" s="1"/>
      <c r="O449"/>
      <c r="P449"/>
      <c r="Q449"/>
      <c r="R449"/>
      <c r="S449"/>
      <c r="T449"/>
    </row>
    <row r="450" spans="1:20" s="4" customFormat="1" x14ac:dyDescent="0.2">
      <c r="A450" s="12"/>
      <c r="B450" s="2"/>
      <c r="E450" s="2"/>
      <c r="F450" s="3"/>
      <c r="G450" s="3"/>
      <c r="H450" s="3"/>
      <c r="I450"/>
      <c r="J450" s="5"/>
      <c r="K450" s="1"/>
      <c r="L450" s="1"/>
      <c r="M450"/>
      <c r="N450" s="1"/>
      <c r="O450"/>
      <c r="P450"/>
      <c r="Q450"/>
      <c r="R450"/>
      <c r="S450"/>
      <c r="T450"/>
    </row>
    <row r="451" spans="1:20" s="4" customFormat="1" x14ac:dyDescent="0.2">
      <c r="A451" s="12"/>
      <c r="B451" s="2"/>
      <c r="E451" s="2"/>
      <c r="F451" s="3"/>
      <c r="G451" s="3"/>
      <c r="H451" s="3"/>
      <c r="I451"/>
      <c r="J451" s="5"/>
      <c r="K451" s="1"/>
      <c r="L451" s="1"/>
      <c r="M451"/>
      <c r="N451" s="1"/>
      <c r="O451"/>
      <c r="P451"/>
      <c r="Q451"/>
      <c r="R451"/>
      <c r="S451"/>
      <c r="T451"/>
    </row>
    <row r="452" spans="1:20" s="4" customFormat="1" x14ac:dyDescent="0.2">
      <c r="A452" s="12"/>
      <c r="B452" s="2"/>
      <c r="E452" s="2"/>
      <c r="F452" s="3"/>
      <c r="G452" s="3"/>
      <c r="H452" s="3"/>
      <c r="I452"/>
      <c r="J452" s="5"/>
      <c r="K452" s="1"/>
      <c r="L452" s="1"/>
      <c r="M452"/>
      <c r="N452" s="1"/>
      <c r="O452"/>
      <c r="P452"/>
      <c r="Q452"/>
      <c r="R452"/>
      <c r="S452"/>
      <c r="T452"/>
    </row>
    <row r="453" spans="1:20" s="4" customFormat="1" x14ac:dyDescent="0.2">
      <c r="A453" s="12"/>
      <c r="B453" s="2"/>
      <c r="E453" s="2"/>
      <c r="F453" s="3"/>
      <c r="G453" s="3"/>
      <c r="H453" s="3"/>
      <c r="I453"/>
      <c r="J453" s="5"/>
      <c r="K453" s="1"/>
      <c r="L453" s="1"/>
      <c r="M453"/>
      <c r="N453" s="1"/>
      <c r="O453"/>
      <c r="P453"/>
      <c r="Q453"/>
      <c r="R453"/>
      <c r="S453"/>
      <c r="T453"/>
    </row>
    <row r="454" spans="1:20" s="4" customFormat="1" x14ac:dyDescent="0.2">
      <c r="A454" s="12"/>
      <c r="B454" s="2"/>
      <c r="E454" s="2"/>
      <c r="F454" s="3"/>
      <c r="G454" s="3"/>
      <c r="H454" s="3"/>
      <c r="I454"/>
      <c r="J454" s="5"/>
      <c r="K454" s="1"/>
      <c r="L454" s="1"/>
      <c r="M454"/>
      <c r="N454" s="1"/>
      <c r="O454"/>
      <c r="P454"/>
      <c r="Q454"/>
      <c r="R454"/>
      <c r="S454"/>
      <c r="T454"/>
    </row>
    <row r="455" spans="1:20" s="4" customFormat="1" x14ac:dyDescent="0.2">
      <c r="A455" s="12"/>
      <c r="B455" s="2"/>
      <c r="E455" s="2"/>
      <c r="F455" s="3"/>
      <c r="G455" s="3"/>
      <c r="H455" s="3"/>
      <c r="I455"/>
      <c r="J455" s="5"/>
      <c r="K455" s="1"/>
      <c r="L455" s="1"/>
      <c r="M455"/>
      <c r="N455" s="1"/>
      <c r="O455"/>
      <c r="P455"/>
      <c r="Q455"/>
      <c r="R455"/>
      <c r="S455"/>
      <c r="T455"/>
    </row>
    <row r="456" spans="1:20" s="4" customFormat="1" x14ac:dyDescent="0.2">
      <c r="A456" s="12"/>
      <c r="B456" s="2"/>
      <c r="E456" s="2"/>
      <c r="F456" s="3"/>
      <c r="G456" s="3"/>
      <c r="H456" s="3"/>
      <c r="I456"/>
      <c r="J456" s="5"/>
      <c r="K456" s="1"/>
      <c r="L456" s="1"/>
      <c r="M456"/>
      <c r="N456" s="1"/>
      <c r="O456"/>
      <c r="P456"/>
      <c r="Q456"/>
      <c r="R456"/>
      <c r="S456"/>
      <c r="T456"/>
    </row>
    <row r="457" spans="1:20" s="4" customFormat="1" x14ac:dyDescent="0.2">
      <c r="A457" s="12"/>
      <c r="B457" s="2"/>
      <c r="E457" s="2"/>
      <c r="F457" s="3"/>
      <c r="G457" s="3"/>
      <c r="H457" s="3"/>
      <c r="I457"/>
      <c r="J457" s="5"/>
      <c r="K457" s="1"/>
      <c r="L457" s="1"/>
      <c r="M457"/>
      <c r="N457" s="1"/>
      <c r="O457"/>
      <c r="P457"/>
      <c r="Q457"/>
      <c r="R457"/>
      <c r="S457"/>
      <c r="T457"/>
    </row>
    <row r="458" spans="1:20" s="4" customFormat="1" x14ac:dyDescent="0.2">
      <c r="A458" s="12"/>
      <c r="B458" s="2"/>
      <c r="E458" s="2"/>
      <c r="F458" s="3"/>
      <c r="G458" s="3"/>
      <c r="H458" s="3"/>
      <c r="I458"/>
      <c r="J458" s="5"/>
      <c r="K458" s="1"/>
      <c r="L458" s="1"/>
      <c r="M458"/>
      <c r="N458" s="1"/>
      <c r="O458"/>
      <c r="P458"/>
      <c r="Q458"/>
      <c r="R458"/>
      <c r="S458"/>
      <c r="T458"/>
    </row>
    <row r="459" spans="1:20" s="4" customFormat="1" x14ac:dyDescent="0.2">
      <c r="A459" s="12"/>
      <c r="B459" s="2"/>
      <c r="E459" s="2"/>
      <c r="F459" s="3"/>
      <c r="G459" s="3"/>
      <c r="H459" s="3"/>
      <c r="I459"/>
      <c r="J459" s="5"/>
      <c r="K459" s="1"/>
      <c r="L459" s="1"/>
      <c r="M459"/>
      <c r="N459" s="1"/>
      <c r="O459"/>
      <c r="P459"/>
      <c r="Q459"/>
      <c r="R459"/>
      <c r="S459"/>
      <c r="T459"/>
    </row>
  </sheetData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FY2017
SUMMARY REPORT
BY DEPARTMENT
As of June 30, 2017&amp;RRun Date: &amp;D      &amp;T     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8.140625" style="12" customWidth="1"/>
    <col min="2" max="2" width="25" style="2" customWidth="1"/>
    <col min="3" max="3" width="23.140625" customWidth="1"/>
    <col min="4" max="4" width="12.140625" style="4" customWidth="1"/>
    <col min="5" max="5" width="58.42578125" style="2" customWidth="1"/>
    <col min="6" max="6" width="11.85546875" style="3" customWidth="1"/>
    <col min="7" max="7" width="11.42578125" style="3" customWidth="1"/>
    <col min="8" max="8" width="10.42578125" style="3" customWidth="1"/>
    <col min="9" max="9" width="11.42578125" customWidth="1"/>
    <col min="10" max="10" width="8.42578125" style="5" customWidth="1"/>
    <col min="11" max="12" width="5.85546875" style="1" customWidth="1"/>
    <col min="13" max="13" width="8.140625" customWidth="1"/>
    <col min="14" max="14" width="5" style="1" customWidth="1"/>
    <col min="15" max="15" width="11.5703125" customWidth="1"/>
    <col min="16" max="18" width="10.42578125" customWidth="1"/>
  </cols>
  <sheetData>
    <row r="1" spans="1:20" ht="24" x14ac:dyDescent="0.2">
      <c r="A1" s="13" t="s">
        <v>0</v>
      </c>
      <c r="B1" s="10" t="s">
        <v>6</v>
      </c>
      <c r="C1" s="10" t="s">
        <v>7</v>
      </c>
      <c r="D1" s="10" t="s">
        <v>12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13</v>
      </c>
      <c r="L1" s="10" t="s">
        <v>70</v>
      </c>
      <c r="M1" s="8" t="s">
        <v>3</v>
      </c>
      <c r="N1" s="8" t="s">
        <v>5</v>
      </c>
      <c r="O1" s="8" t="s">
        <v>16</v>
      </c>
      <c r="P1" s="8" t="s">
        <v>37</v>
      </c>
      <c r="Q1" s="8" t="s">
        <v>38</v>
      </c>
      <c r="R1" s="8" t="s">
        <v>970</v>
      </c>
      <c r="S1" s="8" t="s">
        <v>928</v>
      </c>
      <c r="T1" s="8" t="s">
        <v>929</v>
      </c>
    </row>
    <row r="2" spans="1:20" ht="26.25" customHeight="1" x14ac:dyDescent="0.2">
      <c r="A2" s="43" t="s">
        <v>86</v>
      </c>
      <c r="B2" s="45" t="s">
        <v>21</v>
      </c>
      <c r="C2" s="45" t="s">
        <v>77</v>
      </c>
      <c r="D2" s="54">
        <v>12737</v>
      </c>
      <c r="E2" s="46" t="s">
        <v>96</v>
      </c>
      <c r="F2" s="41">
        <v>65559</v>
      </c>
      <c r="G2" s="41">
        <v>65559</v>
      </c>
      <c r="H2" s="42">
        <v>0</v>
      </c>
      <c r="I2" s="49">
        <f>G2+H2</f>
        <v>65559</v>
      </c>
      <c r="J2" s="51">
        <f>IF(G2=0,100%,(I2-G2)/G2)</f>
        <v>0</v>
      </c>
      <c r="K2" s="48" t="s">
        <v>14</v>
      </c>
      <c r="L2" s="48" t="s">
        <v>14</v>
      </c>
      <c r="M2" s="38">
        <v>42766</v>
      </c>
      <c r="N2" s="48"/>
      <c r="O2" s="41">
        <v>65559</v>
      </c>
      <c r="P2" s="41"/>
      <c r="Q2" s="41"/>
      <c r="R2" s="41"/>
      <c r="S2" s="57"/>
      <c r="T2" s="57"/>
    </row>
    <row r="3" spans="1:20" s="15" customFormat="1" ht="26.25" customHeight="1" x14ac:dyDescent="0.2">
      <c r="A3" s="43" t="s">
        <v>87</v>
      </c>
      <c r="B3" s="46" t="s">
        <v>21</v>
      </c>
      <c r="C3" s="45" t="s">
        <v>93</v>
      </c>
      <c r="D3" s="54">
        <v>12776</v>
      </c>
      <c r="E3" s="46" t="s">
        <v>97</v>
      </c>
      <c r="F3" s="35">
        <f>99350*3</f>
        <v>298050</v>
      </c>
      <c r="G3" s="35">
        <f>99350*3</f>
        <v>298050</v>
      </c>
      <c r="H3" s="35">
        <v>0</v>
      </c>
      <c r="I3" s="49">
        <f t="shared" ref="I3:I66" si="0">G3+H3</f>
        <v>298050</v>
      </c>
      <c r="J3" s="51">
        <f t="shared" ref="J3:J48" si="1">IF(G3=0,100%,(I3-G3)/G3)</f>
        <v>0</v>
      </c>
      <c r="K3" s="48" t="s">
        <v>14</v>
      </c>
      <c r="L3" s="48" t="s">
        <v>14</v>
      </c>
      <c r="M3" s="38">
        <v>42916</v>
      </c>
      <c r="N3" s="48" t="s">
        <v>18</v>
      </c>
      <c r="O3" s="41">
        <v>99350</v>
      </c>
      <c r="P3" s="41">
        <v>99350</v>
      </c>
      <c r="Q3" s="41">
        <v>99350</v>
      </c>
      <c r="R3" s="41"/>
      <c r="S3" s="58"/>
      <c r="T3" s="58"/>
    </row>
    <row r="4" spans="1:20" s="15" customFormat="1" ht="26.25" customHeight="1" x14ac:dyDescent="0.2">
      <c r="A4" s="43" t="s">
        <v>88</v>
      </c>
      <c r="B4" s="46" t="s">
        <v>92</v>
      </c>
      <c r="C4" s="44" t="s">
        <v>94</v>
      </c>
      <c r="D4" s="39">
        <v>12885</v>
      </c>
      <c r="E4" s="46" t="s">
        <v>99</v>
      </c>
      <c r="F4" s="35">
        <v>67179</v>
      </c>
      <c r="G4" s="40">
        <v>67179</v>
      </c>
      <c r="H4" s="35">
        <v>0</v>
      </c>
      <c r="I4" s="49">
        <f t="shared" si="0"/>
        <v>67179</v>
      </c>
      <c r="J4" s="51">
        <f t="shared" si="1"/>
        <v>0</v>
      </c>
      <c r="K4" s="48" t="s">
        <v>14</v>
      </c>
      <c r="L4" s="48" t="s">
        <v>15</v>
      </c>
      <c r="M4" s="38">
        <v>42916</v>
      </c>
      <c r="N4" s="48"/>
      <c r="O4" s="41">
        <v>67179</v>
      </c>
      <c r="P4" s="41"/>
      <c r="Q4" s="41"/>
      <c r="R4" s="41"/>
      <c r="S4" s="58"/>
      <c r="T4" s="58"/>
    </row>
    <row r="5" spans="1:20" s="15" customFormat="1" ht="26.25" customHeight="1" x14ac:dyDescent="0.2">
      <c r="A5" s="43" t="s">
        <v>89</v>
      </c>
      <c r="B5" s="46" t="s">
        <v>92</v>
      </c>
      <c r="C5" s="44" t="s">
        <v>29</v>
      </c>
      <c r="D5" s="34">
        <v>12886</v>
      </c>
      <c r="E5" s="46" t="s">
        <v>789</v>
      </c>
      <c r="F5" s="35">
        <v>78896</v>
      </c>
      <c r="G5" s="40">
        <v>78896</v>
      </c>
      <c r="H5" s="35">
        <v>0</v>
      </c>
      <c r="I5" s="49">
        <f t="shared" si="0"/>
        <v>78896</v>
      </c>
      <c r="J5" s="51">
        <f t="shared" si="1"/>
        <v>0</v>
      </c>
      <c r="K5" s="48" t="s">
        <v>14</v>
      </c>
      <c r="L5" s="48" t="s">
        <v>15</v>
      </c>
      <c r="M5" s="38">
        <v>42916</v>
      </c>
      <c r="N5" s="48"/>
      <c r="O5" s="41">
        <v>78896</v>
      </c>
      <c r="P5" s="41"/>
      <c r="Q5" s="41"/>
      <c r="R5" s="41"/>
      <c r="S5" s="58"/>
      <c r="T5" s="58"/>
    </row>
    <row r="6" spans="1:20" s="15" customFormat="1" ht="26.25" customHeight="1" x14ac:dyDescent="0.2">
      <c r="A6" s="43" t="s">
        <v>90</v>
      </c>
      <c r="B6" s="46" t="s">
        <v>21</v>
      </c>
      <c r="C6" s="44" t="s">
        <v>95</v>
      </c>
      <c r="D6" s="34">
        <v>12958</v>
      </c>
      <c r="E6" s="46" t="s">
        <v>98</v>
      </c>
      <c r="F6" s="35">
        <f>56333*3</f>
        <v>168999</v>
      </c>
      <c r="G6" s="35">
        <f>56333*3</f>
        <v>168999</v>
      </c>
      <c r="H6" s="35">
        <v>0</v>
      </c>
      <c r="I6" s="49">
        <f t="shared" si="0"/>
        <v>168999</v>
      </c>
      <c r="J6" s="51">
        <f t="shared" si="1"/>
        <v>0</v>
      </c>
      <c r="K6" s="48" t="s">
        <v>14</v>
      </c>
      <c r="L6" s="48" t="s">
        <v>14</v>
      </c>
      <c r="M6" s="38">
        <v>42916</v>
      </c>
      <c r="N6" s="48" t="s">
        <v>18</v>
      </c>
      <c r="O6" s="41">
        <v>56333</v>
      </c>
      <c r="P6" s="41">
        <v>56333</v>
      </c>
      <c r="Q6" s="41">
        <v>56333</v>
      </c>
      <c r="R6" s="41"/>
      <c r="S6" s="58"/>
      <c r="T6" s="58"/>
    </row>
    <row r="7" spans="1:20" s="15" customFormat="1" ht="26.25" customHeight="1" x14ac:dyDescent="0.2">
      <c r="A7" s="43" t="s">
        <v>91</v>
      </c>
      <c r="B7" s="46" t="s">
        <v>21</v>
      </c>
      <c r="C7" s="44" t="s">
        <v>48</v>
      </c>
      <c r="D7" s="47">
        <v>12975</v>
      </c>
      <c r="E7" s="46" t="s">
        <v>100</v>
      </c>
      <c r="F7" s="49">
        <f>98000*3</f>
        <v>294000</v>
      </c>
      <c r="G7" s="49">
        <f>98000*3</f>
        <v>294000</v>
      </c>
      <c r="H7" s="35">
        <v>0</v>
      </c>
      <c r="I7" s="49">
        <f t="shared" si="0"/>
        <v>294000</v>
      </c>
      <c r="J7" s="51">
        <f t="shared" si="1"/>
        <v>0</v>
      </c>
      <c r="K7" s="48" t="s">
        <v>14</v>
      </c>
      <c r="L7" s="48" t="s">
        <v>15</v>
      </c>
      <c r="M7" s="38">
        <v>42916</v>
      </c>
      <c r="N7" s="48" t="s">
        <v>18</v>
      </c>
      <c r="O7" s="41">
        <v>98000</v>
      </c>
      <c r="P7" s="41">
        <v>98000</v>
      </c>
      <c r="Q7" s="41">
        <v>98000</v>
      </c>
      <c r="R7" s="41"/>
      <c r="S7" s="58"/>
      <c r="T7" s="58"/>
    </row>
    <row r="8" spans="1:20" s="15" customFormat="1" ht="26.25" customHeight="1" x14ac:dyDescent="0.2">
      <c r="A8" s="43" t="s">
        <v>101</v>
      </c>
      <c r="B8" s="46" t="s">
        <v>35</v>
      </c>
      <c r="C8" s="44" t="s">
        <v>123</v>
      </c>
      <c r="D8" s="34">
        <v>12536</v>
      </c>
      <c r="E8" s="46" t="s">
        <v>134</v>
      </c>
      <c r="F8" s="35">
        <f>5039*3</f>
        <v>15117</v>
      </c>
      <c r="G8" s="35">
        <f>5039*3</f>
        <v>15117</v>
      </c>
      <c r="H8" s="35">
        <v>0</v>
      </c>
      <c r="I8" s="49">
        <f t="shared" si="0"/>
        <v>15117</v>
      </c>
      <c r="J8" s="51">
        <f t="shared" si="1"/>
        <v>0</v>
      </c>
      <c r="K8" s="48" t="s">
        <v>14</v>
      </c>
      <c r="L8" s="48" t="s">
        <v>14</v>
      </c>
      <c r="M8" s="38">
        <v>42916</v>
      </c>
      <c r="N8" s="48" t="s">
        <v>18</v>
      </c>
      <c r="O8" s="41">
        <v>5039</v>
      </c>
      <c r="P8" s="41">
        <v>5039</v>
      </c>
      <c r="Q8" s="41">
        <v>5039</v>
      </c>
      <c r="R8" s="41"/>
      <c r="S8" s="58"/>
      <c r="T8" s="58"/>
    </row>
    <row r="9" spans="1:20" s="15" customFormat="1" ht="26.25" customHeight="1" x14ac:dyDescent="0.2">
      <c r="A9" s="43" t="s">
        <v>102</v>
      </c>
      <c r="B9" s="46" t="s">
        <v>35</v>
      </c>
      <c r="C9" s="44" t="s">
        <v>39</v>
      </c>
      <c r="D9" s="54" t="s">
        <v>132</v>
      </c>
      <c r="E9" s="46" t="s">
        <v>135</v>
      </c>
      <c r="F9" s="35">
        <f>8000+8000</f>
        <v>16000</v>
      </c>
      <c r="G9" s="40">
        <v>17000</v>
      </c>
      <c r="H9" s="35">
        <f>8000+8000</f>
        <v>16000</v>
      </c>
      <c r="I9" s="49">
        <f t="shared" si="0"/>
        <v>33000</v>
      </c>
      <c r="J9" s="51">
        <f t="shared" si="1"/>
        <v>0.94117647058823528</v>
      </c>
      <c r="K9" s="48" t="s">
        <v>14</v>
      </c>
      <c r="L9" s="48" t="s">
        <v>14</v>
      </c>
      <c r="M9" s="38">
        <v>42916</v>
      </c>
      <c r="N9" s="48" t="s">
        <v>28</v>
      </c>
      <c r="O9" s="41">
        <f>8000</f>
        <v>8000</v>
      </c>
      <c r="P9" s="41">
        <v>8000</v>
      </c>
      <c r="Q9" s="41"/>
      <c r="R9" s="41"/>
      <c r="S9" s="58"/>
      <c r="T9" s="58"/>
    </row>
    <row r="10" spans="1:20" s="15" customFormat="1" ht="26.25" customHeight="1" x14ac:dyDescent="0.2">
      <c r="A10" s="43" t="s">
        <v>103</v>
      </c>
      <c r="B10" s="46" t="s">
        <v>21</v>
      </c>
      <c r="C10" s="44" t="s">
        <v>77</v>
      </c>
      <c r="D10" s="47">
        <v>12612</v>
      </c>
      <c r="E10" s="46" t="s">
        <v>136</v>
      </c>
      <c r="F10" s="35">
        <v>7674</v>
      </c>
      <c r="G10" s="35">
        <v>7674</v>
      </c>
      <c r="H10" s="35">
        <v>0</v>
      </c>
      <c r="I10" s="49">
        <f t="shared" si="0"/>
        <v>7674</v>
      </c>
      <c r="J10" s="51">
        <f t="shared" si="1"/>
        <v>0</v>
      </c>
      <c r="K10" s="48" t="s">
        <v>14</v>
      </c>
      <c r="L10" s="48" t="s">
        <v>14</v>
      </c>
      <c r="M10" s="38">
        <v>42727</v>
      </c>
      <c r="N10" s="48"/>
      <c r="O10" s="41">
        <v>7674</v>
      </c>
      <c r="P10" s="41"/>
      <c r="Q10" s="41"/>
      <c r="R10" s="41"/>
      <c r="S10" s="58"/>
      <c r="T10" s="58"/>
    </row>
    <row r="11" spans="1:20" s="15" customFormat="1" ht="26.25" customHeight="1" x14ac:dyDescent="0.2">
      <c r="A11" s="43" t="s">
        <v>104</v>
      </c>
      <c r="B11" s="46" t="s">
        <v>21</v>
      </c>
      <c r="C11" s="44" t="s">
        <v>84</v>
      </c>
      <c r="D11" s="47">
        <v>12675</v>
      </c>
      <c r="E11" s="46" t="s">
        <v>154</v>
      </c>
      <c r="F11" s="35">
        <v>30163</v>
      </c>
      <c r="G11" s="40">
        <v>30163</v>
      </c>
      <c r="H11" s="35">
        <v>0</v>
      </c>
      <c r="I11" s="49">
        <f t="shared" si="0"/>
        <v>30163</v>
      </c>
      <c r="J11" s="51">
        <f t="shared" si="1"/>
        <v>0</v>
      </c>
      <c r="K11" s="48" t="s">
        <v>14</v>
      </c>
      <c r="L11" s="48" t="s">
        <v>14</v>
      </c>
      <c r="M11" s="38">
        <v>42766</v>
      </c>
      <c r="N11" s="48"/>
      <c r="O11" s="41">
        <v>30163</v>
      </c>
      <c r="P11" s="41"/>
      <c r="Q11" s="41"/>
      <c r="R11" s="41"/>
      <c r="S11" s="58"/>
      <c r="T11" s="58"/>
    </row>
    <row r="12" spans="1:20" s="15" customFormat="1" ht="26.25" customHeight="1" x14ac:dyDescent="0.2">
      <c r="A12" s="43" t="s">
        <v>105</v>
      </c>
      <c r="B12" s="46" t="s">
        <v>92</v>
      </c>
      <c r="C12" s="44" t="s">
        <v>124</v>
      </c>
      <c r="D12" s="47">
        <v>12688</v>
      </c>
      <c r="E12" s="55" t="s">
        <v>139</v>
      </c>
      <c r="F12" s="35">
        <v>27414</v>
      </c>
      <c r="G12" s="40">
        <v>27414</v>
      </c>
      <c r="H12" s="35">
        <v>0</v>
      </c>
      <c r="I12" s="49">
        <f t="shared" si="0"/>
        <v>27414</v>
      </c>
      <c r="J12" s="51">
        <f t="shared" si="1"/>
        <v>0</v>
      </c>
      <c r="K12" s="48" t="s">
        <v>14</v>
      </c>
      <c r="L12" s="48" t="s">
        <v>15</v>
      </c>
      <c r="M12" s="52">
        <v>42916</v>
      </c>
      <c r="N12" s="48"/>
      <c r="O12" s="41">
        <v>27414</v>
      </c>
      <c r="P12" s="41"/>
      <c r="Q12" s="41"/>
      <c r="R12" s="41"/>
      <c r="S12" s="58"/>
      <c r="T12" s="58"/>
    </row>
    <row r="13" spans="1:20" s="15" customFormat="1" ht="26.25" customHeight="1" x14ac:dyDescent="0.2">
      <c r="A13" s="43" t="s">
        <v>106</v>
      </c>
      <c r="B13" s="46" t="s">
        <v>35</v>
      </c>
      <c r="C13" s="44" t="s">
        <v>125</v>
      </c>
      <c r="D13" s="47">
        <v>12823</v>
      </c>
      <c r="E13" s="46" t="s">
        <v>138</v>
      </c>
      <c r="F13" s="35">
        <v>9224</v>
      </c>
      <c r="G13" s="40">
        <v>9224</v>
      </c>
      <c r="H13" s="35">
        <v>0</v>
      </c>
      <c r="I13" s="49">
        <f t="shared" si="0"/>
        <v>9224</v>
      </c>
      <c r="J13" s="51">
        <f t="shared" si="1"/>
        <v>0</v>
      </c>
      <c r="K13" s="48" t="s">
        <v>14</v>
      </c>
      <c r="L13" s="48" t="s">
        <v>15</v>
      </c>
      <c r="M13" s="38">
        <v>42916</v>
      </c>
      <c r="N13" s="48"/>
      <c r="O13" s="41">
        <v>9224</v>
      </c>
      <c r="P13" s="41"/>
      <c r="Q13" s="41"/>
      <c r="R13" s="41"/>
      <c r="S13" s="58"/>
      <c r="T13" s="58"/>
    </row>
    <row r="14" spans="1:20" s="15" customFormat="1" ht="26.25" customHeight="1" x14ac:dyDescent="0.2">
      <c r="A14" s="43" t="s">
        <v>107</v>
      </c>
      <c r="B14" s="46" t="s">
        <v>92</v>
      </c>
      <c r="C14" s="44" t="s">
        <v>43</v>
      </c>
      <c r="D14" s="47">
        <v>12881</v>
      </c>
      <c r="E14" s="46" t="s">
        <v>137</v>
      </c>
      <c r="F14" s="35">
        <v>7213</v>
      </c>
      <c r="G14" s="40">
        <v>7213</v>
      </c>
      <c r="H14" s="35">
        <v>0</v>
      </c>
      <c r="I14" s="49">
        <f t="shared" si="0"/>
        <v>7213</v>
      </c>
      <c r="J14" s="51">
        <f t="shared" si="1"/>
        <v>0</v>
      </c>
      <c r="K14" s="48" t="s">
        <v>14</v>
      </c>
      <c r="L14" s="48" t="s">
        <v>15</v>
      </c>
      <c r="M14" s="38">
        <v>42916</v>
      </c>
      <c r="N14" s="48"/>
      <c r="O14" s="41">
        <v>7213</v>
      </c>
      <c r="P14" s="41"/>
      <c r="Q14" s="41"/>
      <c r="R14" s="41"/>
      <c r="S14" s="58"/>
      <c r="T14" s="58"/>
    </row>
    <row r="15" spans="1:20" s="15" customFormat="1" ht="26.25" customHeight="1" x14ac:dyDescent="0.2">
      <c r="A15" s="43" t="s">
        <v>108</v>
      </c>
      <c r="B15" s="46" t="s">
        <v>92</v>
      </c>
      <c r="C15" s="44" t="s">
        <v>43</v>
      </c>
      <c r="D15" s="47">
        <v>12882</v>
      </c>
      <c r="E15" s="46" t="s">
        <v>140</v>
      </c>
      <c r="F15" s="35">
        <v>24819</v>
      </c>
      <c r="G15" s="35">
        <v>24819</v>
      </c>
      <c r="H15" s="35">
        <v>0</v>
      </c>
      <c r="I15" s="49">
        <f t="shared" si="0"/>
        <v>24819</v>
      </c>
      <c r="J15" s="51">
        <f t="shared" si="1"/>
        <v>0</v>
      </c>
      <c r="K15" s="48" t="s">
        <v>14</v>
      </c>
      <c r="L15" s="48" t="s">
        <v>15</v>
      </c>
      <c r="M15" s="38">
        <v>42916</v>
      </c>
      <c r="N15" s="48"/>
      <c r="O15" s="35">
        <v>24819</v>
      </c>
      <c r="P15" s="35"/>
      <c r="Q15" s="35"/>
      <c r="R15" s="35"/>
      <c r="S15" s="58"/>
      <c r="T15" s="58"/>
    </row>
    <row r="16" spans="1:20" s="15" customFormat="1" ht="26.25" customHeight="1" x14ac:dyDescent="0.2">
      <c r="A16" s="43" t="s">
        <v>109</v>
      </c>
      <c r="B16" s="46" t="s">
        <v>92</v>
      </c>
      <c r="C16" s="44" t="s">
        <v>82</v>
      </c>
      <c r="D16" s="47">
        <v>12883</v>
      </c>
      <c r="E16" s="46" t="s">
        <v>141</v>
      </c>
      <c r="F16" s="35">
        <v>15216</v>
      </c>
      <c r="G16" s="35">
        <v>15216</v>
      </c>
      <c r="H16" s="35">
        <v>0</v>
      </c>
      <c r="I16" s="49">
        <f t="shared" si="0"/>
        <v>15216</v>
      </c>
      <c r="J16" s="51">
        <f t="shared" si="1"/>
        <v>0</v>
      </c>
      <c r="K16" s="48" t="s">
        <v>14</v>
      </c>
      <c r="L16" s="48" t="s">
        <v>15</v>
      </c>
      <c r="M16" s="38">
        <v>42916</v>
      </c>
      <c r="N16" s="48"/>
      <c r="O16" s="35">
        <v>15216</v>
      </c>
      <c r="P16" s="35"/>
      <c r="Q16" s="35"/>
      <c r="R16" s="35"/>
      <c r="S16" s="58"/>
      <c r="T16" s="58"/>
    </row>
    <row r="17" spans="1:20" s="15" customFormat="1" ht="26.25" customHeight="1" x14ac:dyDescent="0.2">
      <c r="A17" s="43" t="s">
        <v>110</v>
      </c>
      <c r="B17" s="46" t="s">
        <v>92</v>
      </c>
      <c r="C17" s="44" t="s">
        <v>50</v>
      </c>
      <c r="D17" s="47">
        <v>12884</v>
      </c>
      <c r="E17" s="46" t="s">
        <v>142</v>
      </c>
      <c r="F17" s="35">
        <v>37739</v>
      </c>
      <c r="G17" s="35">
        <v>37739</v>
      </c>
      <c r="H17" s="35">
        <v>0</v>
      </c>
      <c r="I17" s="49">
        <f t="shared" si="0"/>
        <v>37739</v>
      </c>
      <c r="J17" s="51">
        <f t="shared" si="1"/>
        <v>0</v>
      </c>
      <c r="K17" s="48" t="s">
        <v>14</v>
      </c>
      <c r="L17" s="48" t="s">
        <v>15</v>
      </c>
      <c r="M17" s="38">
        <v>42916</v>
      </c>
      <c r="N17" s="48"/>
      <c r="O17" s="35">
        <v>37739</v>
      </c>
      <c r="P17" s="35"/>
      <c r="Q17" s="35"/>
      <c r="R17" s="35"/>
      <c r="S17" s="58"/>
      <c r="T17" s="58"/>
    </row>
    <row r="18" spans="1:20" s="15" customFormat="1" ht="26.25" customHeight="1" x14ac:dyDescent="0.2">
      <c r="A18" s="43" t="s">
        <v>111</v>
      </c>
      <c r="B18" s="46" t="s">
        <v>92</v>
      </c>
      <c r="C18" s="44" t="s">
        <v>82</v>
      </c>
      <c r="D18" s="47">
        <v>12887</v>
      </c>
      <c r="E18" s="46" t="s">
        <v>143</v>
      </c>
      <c r="F18" s="35">
        <v>21839</v>
      </c>
      <c r="G18" s="35">
        <v>21839</v>
      </c>
      <c r="H18" s="35">
        <v>0</v>
      </c>
      <c r="I18" s="49">
        <f t="shared" si="0"/>
        <v>21839</v>
      </c>
      <c r="J18" s="51">
        <f t="shared" si="1"/>
        <v>0</v>
      </c>
      <c r="K18" s="48" t="s">
        <v>14</v>
      </c>
      <c r="L18" s="48" t="s">
        <v>15</v>
      </c>
      <c r="M18" s="38">
        <v>42916</v>
      </c>
      <c r="N18" s="48"/>
      <c r="O18" s="35">
        <v>21839</v>
      </c>
      <c r="P18" s="35"/>
      <c r="Q18" s="35"/>
      <c r="R18" s="35"/>
      <c r="S18" s="58"/>
      <c r="T18" s="58"/>
    </row>
    <row r="19" spans="1:20" s="15" customFormat="1" ht="26.25" customHeight="1" x14ac:dyDescent="0.2">
      <c r="A19" s="43" t="s">
        <v>112</v>
      </c>
      <c r="B19" s="46" t="s">
        <v>92</v>
      </c>
      <c r="C19" s="44" t="s">
        <v>126</v>
      </c>
      <c r="D19" s="47">
        <v>12889</v>
      </c>
      <c r="E19" s="46" t="s">
        <v>144</v>
      </c>
      <c r="F19" s="35">
        <v>13472</v>
      </c>
      <c r="G19" s="35">
        <v>13472</v>
      </c>
      <c r="H19" s="35">
        <v>0</v>
      </c>
      <c r="I19" s="49">
        <f t="shared" si="0"/>
        <v>13472</v>
      </c>
      <c r="J19" s="51">
        <f t="shared" si="1"/>
        <v>0</v>
      </c>
      <c r="K19" s="48" t="s">
        <v>14</v>
      </c>
      <c r="L19" s="48" t="s">
        <v>15</v>
      </c>
      <c r="M19" s="38">
        <v>42916</v>
      </c>
      <c r="N19" s="48"/>
      <c r="O19" s="35">
        <v>13472</v>
      </c>
      <c r="P19" s="35"/>
      <c r="Q19" s="35"/>
      <c r="R19" s="35"/>
      <c r="S19" s="58"/>
      <c r="T19" s="58"/>
    </row>
    <row r="20" spans="1:20" s="15" customFormat="1" ht="26.25" customHeight="1" x14ac:dyDescent="0.2">
      <c r="A20" s="43" t="s">
        <v>113</v>
      </c>
      <c r="B20" s="46" t="s">
        <v>92</v>
      </c>
      <c r="C20" s="44" t="s">
        <v>43</v>
      </c>
      <c r="D20" s="47">
        <v>12890</v>
      </c>
      <c r="E20" s="46" t="s">
        <v>145</v>
      </c>
      <c r="F20" s="35">
        <v>15479</v>
      </c>
      <c r="G20" s="35">
        <v>15479</v>
      </c>
      <c r="H20" s="35">
        <v>0</v>
      </c>
      <c r="I20" s="49">
        <f t="shared" si="0"/>
        <v>15479</v>
      </c>
      <c r="J20" s="51">
        <f t="shared" si="1"/>
        <v>0</v>
      </c>
      <c r="K20" s="48" t="s">
        <v>14</v>
      </c>
      <c r="L20" s="48" t="s">
        <v>15</v>
      </c>
      <c r="M20" s="38">
        <v>42916</v>
      </c>
      <c r="N20" s="48"/>
      <c r="O20" s="35">
        <v>15479</v>
      </c>
      <c r="P20" s="41"/>
      <c r="Q20" s="41"/>
      <c r="R20" s="41"/>
      <c r="S20" s="58"/>
      <c r="T20" s="58"/>
    </row>
    <row r="21" spans="1:20" s="15" customFormat="1" ht="26.25" customHeight="1" x14ac:dyDescent="0.2">
      <c r="A21" s="43" t="s">
        <v>114</v>
      </c>
      <c r="B21" s="46" t="s">
        <v>21</v>
      </c>
      <c r="C21" s="44" t="s">
        <v>127</v>
      </c>
      <c r="D21" s="47">
        <v>12891</v>
      </c>
      <c r="E21" s="46" t="s">
        <v>146</v>
      </c>
      <c r="F21" s="35">
        <f>40000*3</f>
        <v>120000</v>
      </c>
      <c r="G21" s="35">
        <f>40000*3</f>
        <v>120000</v>
      </c>
      <c r="H21" s="35">
        <v>0</v>
      </c>
      <c r="I21" s="49">
        <f t="shared" si="0"/>
        <v>120000</v>
      </c>
      <c r="J21" s="51">
        <f t="shared" si="1"/>
        <v>0</v>
      </c>
      <c r="K21" s="48" t="s">
        <v>14</v>
      </c>
      <c r="L21" s="48" t="s">
        <v>14</v>
      </c>
      <c r="M21" s="38">
        <v>42916</v>
      </c>
      <c r="N21" s="48" t="s">
        <v>18</v>
      </c>
      <c r="O21" s="35">
        <v>40000</v>
      </c>
      <c r="P21" s="35">
        <v>40000</v>
      </c>
      <c r="Q21" s="35">
        <v>40000</v>
      </c>
      <c r="R21" s="35"/>
      <c r="S21" s="58"/>
      <c r="T21" s="58"/>
    </row>
    <row r="22" spans="1:20" s="15" customFormat="1" ht="26.25" customHeight="1" x14ac:dyDescent="0.2">
      <c r="A22" s="43" t="s">
        <v>115</v>
      </c>
      <c r="B22" s="46" t="s">
        <v>19</v>
      </c>
      <c r="C22" s="44" t="s">
        <v>128</v>
      </c>
      <c r="D22" s="47">
        <v>12916</v>
      </c>
      <c r="E22" s="46" t="s">
        <v>147</v>
      </c>
      <c r="F22" s="35">
        <v>25001</v>
      </c>
      <c r="G22" s="35">
        <v>25001</v>
      </c>
      <c r="H22" s="35">
        <v>0</v>
      </c>
      <c r="I22" s="49">
        <f t="shared" si="0"/>
        <v>25001</v>
      </c>
      <c r="J22" s="51">
        <f t="shared" si="1"/>
        <v>0</v>
      </c>
      <c r="K22" s="48" t="s">
        <v>14</v>
      </c>
      <c r="L22" s="48" t="s">
        <v>14</v>
      </c>
      <c r="M22" s="38">
        <v>42575</v>
      </c>
      <c r="N22" s="48"/>
      <c r="O22" s="35">
        <v>25001</v>
      </c>
      <c r="P22" s="35"/>
      <c r="Q22" s="35"/>
      <c r="R22" s="35"/>
      <c r="S22" s="58"/>
      <c r="T22" s="58"/>
    </row>
    <row r="23" spans="1:20" s="15" customFormat="1" ht="26.25" customHeight="1" x14ac:dyDescent="0.2">
      <c r="A23" s="43" t="s">
        <v>116</v>
      </c>
      <c r="B23" s="46" t="s">
        <v>19</v>
      </c>
      <c r="C23" s="44" t="s">
        <v>129</v>
      </c>
      <c r="D23" s="47">
        <v>12918</v>
      </c>
      <c r="E23" s="46" t="s">
        <v>148</v>
      </c>
      <c r="F23" s="35">
        <v>7125</v>
      </c>
      <c r="G23" s="35">
        <v>7125</v>
      </c>
      <c r="H23" s="35">
        <v>0</v>
      </c>
      <c r="I23" s="49">
        <f t="shared" si="0"/>
        <v>7125</v>
      </c>
      <c r="J23" s="51">
        <f t="shared" si="1"/>
        <v>0</v>
      </c>
      <c r="K23" s="48" t="s">
        <v>14</v>
      </c>
      <c r="L23" s="48" t="s">
        <v>14</v>
      </c>
      <c r="M23" s="38">
        <v>42575</v>
      </c>
      <c r="N23" s="48"/>
      <c r="O23" s="35">
        <v>7125</v>
      </c>
      <c r="P23" s="35"/>
      <c r="Q23" s="35"/>
      <c r="R23" s="35"/>
      <c r="S23" s="58"/>
      <c r="T23" s="58"/>
    </row>
    <row r="24" spans="1:20" s="15" customFormat="1" ht="26.25" customHeight="1" x14ac:dyDescent="0.2">
      <c r="A24" s="43" t="s">
        <v>117</v>
      </c>
      <c r="B24" s="46" t="s">
        <v>19</v>
      </c>
      <c r="C24" s="44" t="s">
        <v>130</v>
      </c>
      <c r="D24" s="47">
        <v>12920</v>
      </c>
      <c r="E24" s="46" t="s">
        <v>149</v>
      </c>
      <c r="F24" s="35">
        <v>7100</v>
      </c>
      <c r="G24" s="35">
        <v>7100</v>
      </c>
      <c r="H24" s="35">
        <v>0</v>
      </c>
      <c r="I24" s="49">
        <f t="shared" si="0"/>
        <v>7100</v>
      </c>
      <c r="J24" s="51">
        <f t="shared" si="1"/>
        <v>0</v>
      </c>
      <c r="K24" s="48" t="s">
        <v>14</v>
      </c>
      <c r="L24" s="48" t="s">
        <v>14</v>
      </c>
      <c r="M24" s="38">
        <v>42575</v>
      </c>
      <c r="N24" s="48"/>
      <c r="O24" s="35">
        <v>7100</v>
      </c>
      <c r="P24" s="35"/>
      <c r="Q24" s="35"/>
      <c r="R24" s="35"/>
      <c r="S24" s="58"/>
      <c r="T24" s="58"/>
    </row>
    <row r="25" spans="1:20" s="15" customFormat="1" ht="26.25" customHeight="1" x14ac:dyDescent="0.2">
      <c r="A25" s="43" t="s">
        <v>118</v>
      </c>
      <c r="B25" s="46" t="s">
        <v>19</v>
      </c>
      <c r="C25" s="44" t="s">
        <v>130</v>
      </c>
      <c r="D25" s="54">
        <v>12921</v>
      </c>
      <c r="E25" s="46" t="s">
        <v>150</v>
      </c>
      <c r="F25" s="35">
        <v>10750</v>
      </c>
      <c r="G25" s="35">
        <v>10750</v>
      </c>
      <c r="H25" s="35">
        <v>0</v>
      </c>
      <c r="I25" s="49">
        <f t="shared" si="0"/>
        <v>10750</v>
      </c>
      <c r="J25" s="51">
        <f t="shared" si="1"/>
        <v>0</v>
      </c>
      <c r="K25" s="48" t="s">
        <v>14</v>
      </c>
      <c r="L25" s="48" t="s">
        <v>14</v>
      </c>
      <c r="M25" s="38">
        <v>42575</v>
      </c>
      <c r="N25" s="48"/>
      <c r="O25" s="35">
        <v>10750</v>
      </c>
      <c r="P25" s="41"/>
      <c r="Q25" s="41"/>
      <c r="R25" s="41"/>
      <c r="S25" s="58"/>
      <c r="T25" s="58"/>
    </row>
    <row r="26" spans="1:20" s="15" customFormat="1" ht="26.25" customHeight="1" x14ac:dyDescent="0.2">
      <c r="A26" s="43" t="s">
        <v>119</v>
      </c>
      <c r="B26" s="46" t="s">
        <v>19</v>
      </c>
      <c r="C26" s="44" t="s">
        <v>131</v>
      </c>
      <c r="D26" s="54">
        <v>12922</v>
      </c>
      <c r="E26" s="46" t="s">
        <v>153</v>
      </c>
      <c r="F26" s="35">
        <v>20000</v>
      </c>
      <c r="G26" s="35">
        <v>20000</v>
      </c>
      <c r="H26" s="35">
        <v>0</v>
      </c>
      <c r="I26" s="49">
        <f t="shared" si="0"/>
        <v>20000</v>
      </c>
      <c r="J26" s="51">
        <f t="shared" si="1"/>
        <v>0</v>
      </c>
      <c r="K26" s="48" t="s">
        <v>14</v>
      </c>
      <c r="L26" s="48" t="s">
        <v>14</v>
      </c>
      <c r="M26" s="38">
        <v>42735</v>
      </c>
      <c r="N26" s="48"/>
      <c r="O26" s="35">
        <v>20000</v>
      </c>
      <c r="P26" s="41"/>
      <c r="Q26" s="41"/>
      <c r="R26" s="41"/>
      <c r="S26" s="58"/>
      <c r="T26" s="58"/>
    </row>
    <row r="27" spans="1:20" s="15" customFormat="1" ht="26.25" customHeight="1" x14ac:dyDescent="0.2">
      <c r="A27" s="43" t="s">
        <v>120</v>
      </c>
      <c r="B27" s="46" t="s">
        <v>23</v>
      </c>
      <c r="C27" s="44" t="s">
        <v>47</v>
      </c>
      <c r="D27" s="54">
        <v>12936</v>
      </c>
      <c r="E27" s="46" t="s">
        <v>152</v>
      </c>
      <c r="F27" s="49">
        <f>20000*3</f>
        <v>60000</v>
      </c>
      <c r="G27" s="49">
        <f>20000*3</f>
        <v>60000</v>
      </c>
      <c r="H27" s="49">
        <v>0</v>
      </c>
      <c r="I27" s="49">
        <f t="shared" si="0"/>
        <v>60000</v>
      </c>
      <c r="J27" s="51">
        <f t="shared" si="1"/>
        <v>0</v>
      </c>
      <c r="K27" s="48" t="s">
        <v>14</v>
      </c>
      <c r="L27" s="48" t="s">
        <v>14</v>
      </c>
      <c r="M27" s="38">
        <v>42916</v>
      </c>
      <c r="N27" s="48" t="s">
        <v>18</v>
      </c>
      <c r="O27" s="41">
        <v>20000</v>
      </c>
      <c r="P27" s="41">
        <v>20000</v>
      </c>
      <c r="Q27" s="41">
        <v>20000</v>
      </c>
      <c r="R27" s="41"/>
      <c r="S27" s="58"/>
      <c r="T27" s="58"/>
    </row>
    <row r="28" spans="1:20" s="15" customFormat="1" ht="26.25" customHeight="1" x14ac:dyDescent="0.2">
      <c r="A28" s="43" t="s">
        <v>121</v>
      </c>
      <c r="B28" s="46" t="s">
        <v>23</v>
      </c>
      <c r="C28" s="44" t="s">
        <v>40</v>
      </c>
      <c r="D28" s="54" t="s">
        <v>133</v>
      </c>
      <c r="E28" s="46" t="s">
        <v>44</v>
      </c>
      <c r="F28" s="35">
        <f>10719+10719</f>
        <v>21438</v>
      </c>
      <c r="G28" s="35">
        <v>26211</v>
      </c>
      <c r="H28" s="35">
        <f>10719*2</f>
        <v>21438</v>
      </c>
      <c r="I28" s="49">
        <f t="shared" si="0"/>
        <v>47649</v>
      </c>
      <c r="J28" s="51">
        <f t="shared" si="1"/>
        <v>0.81790088130937388</v>
      </c>
      <c r="K28" s="48" t="s">
        <v>14</v>
      </c>
      <c r="L28" s="48" t="s">
        <v>14</v>
      </c>
      <c r="M28" s="38">
        <v>42916</v>
      </c>
      <c r="N28" s="48" t="s">
        <v>28</v>
      </c>
      <c r="O28" s="35">
        <v>10719</v>
      </c>
      <c r="P28" s="35">
        <v>10719</v>
      </c>
      <c r="Q28" s="35"/>
      <c r="R28" s="35"/>
      <c r="S28" s="58"/>
      <c r="T28" s="58"/>
    </row>
    <row r="29" spans="1:20" s="15" customFormat="1" ht="26.25" customHeight="1" x14ac:dyDescent="0.2">
      <c r="A29" s="43" t="s">
        <v>122</v>
      </c>
      <c r="B29" s="46" t="s">
        <v>23</v>
      </c>
      <c r="C29" s="44" t="s">
        <v>41</v>
      </c>
      <c r="D29" s="47">
        <v>12957</v>
      </c>
      <c r="E29" s="46" t="s">
        <v>151</v>
      </c>
      <c r="F29" s="35">
        <v>15000</v>
      </c>
      <c r="G29" s="35">
        <v>15000</v>
      </c>
      <c r="H29" s="35">
        <v>0</v>
      </c>
      <c r="I29" s="49">
        <f t="shared" si="0"/>
        <v>15000</v>
      </c>
      <c r="J29" s="51">
        <f t="shared" si="1"/>
        <v>0</v>
      </c>
      <c r="K29" s="48" t="s">
        <v>14</v>
      </c>
      <c r="L29" s="48" t="s">
        <v>14</v>
      </c>
      <c r="M29" s="38">
        <v>42916</v>
      </c>
      <c r="N29" s="48"/>
      <c r="O29" s="35">
        <v>15000</v>
      </c>
      <c r="P29" s="35"/>
      <c r="Q29" s="35"/>
      <c r="R29" s="35"/>
      <c r="S29" s="58"/>
      <c r="T29" s="58"/>
    </row>
    <row r="30" spans="1:20" s="15" customFormat="1" ht="26.25" customHeight="1" x14ac:dyDescent="0.2">
      <c r="A30" s="43" t="s">
        <v>155</v>
      </c>
      <c r="B30" s="46" t="s">
        <v>21</v>
      </c>
      <c r="C30" s="44" t="s">
        <v>77</v>
      </c>
      <c r="D30" s="47">
        <v>12371</v>
      </c>
      <c r="E30" s="46" t="s">
        <v>174</v>
      </c>
      <c r="F30" s="35">
        <v>11032</v>
      </c>
      <c r="G30" s="40">
        <v>11032</v>
      </c>
      <c r="H30" s="35">
        <v>0</v>
      </c>
      <c r="I30" s="49">
        <f t="shared" si="0"/>
        <v>11032</v>
      </c>
      <c r="J30" s="51">
        <f t="shared" si="1"/>
        <v>0</v>
      </c>
      <c r="K30" s="48" t="s">
        <v>15</v>
      </c>
      <c r="L30" s="48" t="s">
        <v>14</v>
      </c>
      <c r="M30" s="38">
        <v>42644</v>
      </c>
      <c r="N30" s="48"/>
      <c r="O30" s="41">
        <v>11032</v>
      </c>
      <c r="P30" s="41"/>
      <c r="Q30" s="41"/>
      <c r="R30" s="41"/>
      <c r="S30" s="58"/>
      <c r="T30" s="58"/>
    </row>
    <row r="31" spans="1:20" s="15" customFormat="1" ht="26.25" customHeight="1" x14ac:dyDescent="0.2">
      <c r="A31" s="43" t="s">
        <v>156</v>
      </c>
      <c r="B31" s="46" t="s">
        <v>26</v>
      </c>
      <c r="C31" s="44" t="s">
        <v>167</v>
      </c>
      <c r="D31" s="47">
        <v>12778</v>
      </c>
      <c r="E31" s="46" t="s">
        <v>173</v>
      </c>
      <c r="F31" s="35">
        <v>5200</v>
      </c>
      <c r="G31" s="35">
        <v>5200</v>
      </c>
      <c r="H31" s="35">
        <v>0</v>
      </c>
      <c r="I31" s="49">
        <f t="shared" si="0"/>
        <v>5200</v>
      </c>
      <c r="J31" s="51">
        <f t="shared" si="1"/>
        <v>0</v>
      </c>
      <c r="K31" s="48" t="s">
        <v>14</v>
      </c>
      <c r="L31" s="48" t="s">
        <v>14</v>
      </c>
      <c r="M31" s="38">
        <v>43281</v>
      </c>
      <c r="N31" s="48"/>
      <c r="O31" s="35">
        <v>5200</v>
      </c>
      <c r="P31" s="41"/>
      <c r="Q31" s="41"/>
      <c r="R31" s="41"/>
      <c r="S31" s="58"/>
      <c r="T31" s="58"/>
    </row>
    <row r="32" spans="1:20" s="15" customFormat="1" ht="26.25" customHeight="1" x14ac:dyDescent="0.2">
      <c r="A32" s="43" t="s">
        <v>157</v>
      </c>
      <c r="B32" s="46" t="s">
        <v>21</v>
      </c>
      <c r="C32" s="44" t="s">
        <v>47</v>
      </c>
      <c r="D32" s="47">
        <v>13003</v>
      </c>
      <c r="E32" s="46" t="s">
        <v>175</v>
      </c>
      <c r="F32" s="35">
        <f>10000*3</f>
        <v>30000</v>
      </c>
      <c r="G32" s="35">
        <f>10000*3</f>
        <v>30000</v>
      </c>
      <c r="H32" s="35">
        <v>0</v>
      </c>
      <c r="I32" s="49">
        <f t="shared" si="0"/>
        <v>30000</v>
      </c>
      <c r="J32" s="51">
        <f t="shared" si="1"/>
        <v>0</v>
      </c>
      <c r="K32" s="48" t="s">
        <v>14</v>
      </c>
      <c r="L32" s="48" t="s">
        <v>14</v>
      </c>
      <c r="M32" s="38">
        <v>42916</v>
      </c>
      <c r="N32" s="48" t="s">
        <v>18</v>
      </c>
      <c r="O32" s="35">
        <v>10000</v>
      </c>
      <c r="P32" s="41">
        <v>10000</v>
      </c>
      <c r="Q32" s="41">
        <v>10000</v>
      </c>
      <c r="R32" s="41"/>
      <c r="S32" s="58"/>
      <c r="T32" s="58"/>
    </row>
    <row r="33" spans="1:20" s="15" customFormat="1" ht="26.25" customHeight="1" x14ac:dyDescent="0.2">
      <c r="A33" s="43" t="s">
        <v>158</v>
      </c>
      <c r="B33" s="46" t="s">
        <v>69</v>
      </c>
      <c r="C33" s="44" t="s">
        <v>33</v>
      </c>
      <c r="D33" s="47">
        <v>13017</v>
      </c>
      <c r="E33" s="46" t="s">
        <v>176</v>
      </c>
      <c r="F33" s="49">
        <f>21376*3</f>
        <v>64128</v>
      </c>
      <c r="G33" s="49">
        <f>21376*3</f>
        <v>64128</v>
      </c>
      <c r="H33" s="35">
        <v>0</v>
      </c>
      <c r="I33" s="49">
        <f t="shared" si="0"/>
        <v>64128</v>
      </c>
      <c r="J33" s="51">
        <f t="shared" si="1"/>
        <v>0</v>
      </c>
      <c r="K33" s="48" t="s">
        <v>14</v>
      </c>
      <c r="L33" s="48" t="s">
        <v>14</v>
      </c>
      <c r="M33" s="38">
        <v>42868</v>
      </c>
      <c r="N33" s="48" t="s">
        <v>18</v>
      </c>
      <c r="O33" s="41">
        <v>21376</v>
      </c>
      <c r="P33" s="41">
        <v>21376</v>
      </c>
      <c r="Q33" s="41">
        <v>21376</v>
      </c>
      <c r="R33" s="41"/>
      <c r="S33" s="58"/>
      <c r="T33" s="58"/>
    </row>
    <row r="34" spans="1:20" s="15" customFormat="1" ht="26.25" customHeight="1" x14ac:dyDescent="0.2">
      <c r="A34" s="43" t="s">
        <v>159</v>
      </c>
      <c r="B34" s="46" t="s">
        <v>31</v>
      </c>
      <c r="C34" s="44" t="s">
        <v>168</v>
      </c>
      <c r="D34" s="47">
        <v>13024</v>
      </c>
      <c r="E34" s="46" t="s">
        <v>177</v>
      </c>
      <c r="F34" s="35">
        <f>33050*3</f>
        <v>99150</v>
      </c>
      <c r="G34" s="35">
        <f>33050*3</f>
        <v>99150</v>
      </c>
      <c r="H34" s="35">
        <v>0</v>
      </c>
      <c r="I34" s="49">
        <f t="shared" si="0"/>
        <v>99150</v>
      </c>
      <c r="J34" s="51">
        <f t="shared" si="1"/>
        <v>0</v>
      </c>
      <c r="K34" s="48" t="s">
        <v>14</v>
      </c>
      <c r="L34" s="48" t="s">
        <v>15</v>
      </c>
      <c r="M34" s="38">
        <v>42916</v>
      </c>
      <c r="N34" s="48" t="s">
        <v>18</v>
      </c>
      <c r="O34" s="41">
        <v>33050</v>
      </c>
      <c r="P34" s="41">
        <v>33050</v>
      </c>
      <c r="Q34" s="41">
        <v>33050</v>
      </c>
      <c r="R34" s="41"/>
      <c r="S34" s="58"/>
      <c r="T34" s="58"/>
    </row>
    <row r="35" spans="1:20" s="15" customFormat="1" ht="26.25" customHeight="1" x14ac:dyDescent="0.2">
      <c r="A35" s="43" t="s">
        <v>160</v>
      </c>
      <c r="B35" s="46" t="s">
        <v>165</v>
      </c>
      <c r="C35" s="44" t="s">
        <v>169</v>
      </c>
      <c r="D35" s="47">
        <v>13028</v>
      </c>
      <c r="E35" s="46" t="s">
        <v>178</v>
      </c>
      <c r="F35" s="35">
        <v>33200</v>
      </c>
      <c r="G35" s="40">
        <v>33200</v>
      </c>
      <c r="H35" s="35">
        <v>0</v>
      </c>
      <c r="I35" s="35">
        <f t="shared" si="0"/>
        <v>33200</v>
      </c>
      <c r="J35" s="36">
        <f t="shared" si="1"/>
        <v>0</v>
      </c>
      <c r="K35" s="48" t="s">
        <v>14</v>
      </c>
      <c r="L35" s="48" t="s">
        <v>14</v>
      </c>
      <c r="M35" s="38">
        <v>42916</v>
      </c>
      <c r="N35" s="48"/>
      <c r="O35" s="41">
        <v>33200</v>
      </c>
      <c r="P35" s="41"/>
      <c r="Q35" s="41"/>
      <c r="R35" s="41"/>
      <c r="S35" s="58"/>
      <c r="T35" s="58"/>
    </row>
    <row r="36" spans="1:20" s="15" customFormat="1" ht="26.25" customHeight="1" x14ac:dyDescent="0.2">
      <c r="A36" s="43" t="s">
        <v>161</v>
      </c>
      <c r="B36" s="46" t="s">
        <v>69</v>
      </c>
      <c r="C36" s="44" t="s">
        <v>170</v>
      </c>
      <c r="D36" s="47">
        <v>13035</v>
      </c>
      <c r="E36" s="46" t="s">
        <v>179</v>
      </c>
      <c r="F36" s="35">
        <f>19184*3</f>
        <v>57552</v>
      </c>
      <c r="G36" s="35">
        <f>19184*3</f>
        <v>57552</v>
      </c>
      <c r="H36" s="35">
        <v>0</v>
      </c>
      <c r="I36" s="35">
        <f t="shared" si="0"/>
        <v>57552</v>
      </c>
      <c r="J36" s="36">
        <f t="shared" si="1"/>
        <v>0</v>
      </c>
      <c r="K36" s="48" t="s">
        <v>14</v>
      </c>
      <c r="L36" s="48" t="s">
        <v>14</v>
      </c>
      <c r="M36" s="38">
        <v>42886</v>
      </c>
      <c r="N36" s="48" t="s">
        <v>18</v>
      </c>
      <c r="O36" s="35">
        <v>19184</v>
      </c>
      <c r="P36" s="35">
        <v>19184</v>
      </c>
      <c r="Q36" s="35">
        <v>19184</v>
      </c>
      <c r="R36" s="35"/>
      <c r="S36" s="58"/>
      <c r="T36" s="58"/>
    </row>
    <row r="37" spans="1:20" s="15" customFormat="1" ht="26.25" customHeight="1" x14ac:dyDescent="0.2">
      <c r="A37" s="43" t="s">
        <v>162</v>
      </c>
      <c r="B37" s="46" t="s">
        <v>166</v>
      </c>
      <c r="C37" s="44" t="s">
        <v>171</v>
      </c>
      <c r="D37" s="47">
        <v>13051</v>
      </c>
      <c r="E37" s="46" t="s">
        <v>180</v>
      </c>
      <c r="F37" s="49">
        <v>5700</v>
      </c>
      <c r="G37" s="50">
        <v>5700</v>
      </c>
      <c r="H37" s="35">
        <v>0</v>
      </c>
      <c r="I37" s="35">
        <f t="shared" si="0"/>
        <v>5700</v>
      </c>
      <c r="J37" s="36">
        <f t="shared" si="1"/>
        <v>0</v>
      </c>
      <c r="K37" s="48" t="s">
        <v>14</v>
      </c>
      <c r="L37" s="48" t="s">
        <v>15</v>
      </c>
      <c r="M37" s="38">
        <v>42643</v>
      </c>
      <c r="N37" s="48"/>
      <c r="O37" s="41">
        <v>5700</v>
      </c>
      <c r="P37" s="41"/>
      <c r="Q37" s="41"/>
      <c r="R37" s="41"/>
      <c r="S37" s="58"/>
      <c r="T37" s="58"/>
    </row>
    <row r="38" spans="1:20" s="15" customFormat="1" ht="26.25" customHeight="1" x14ac:dyDescent="0.2">
      <c r="A38" s="43" t="s">
        <v>163</v>
      </c>
      <c r="B38" s="46" t="s">
        <v>17</v>
      </c>
      <c r="C38" s="44" t="s">
        <v>172</v>
      </c>
      <c r="D38" s="47">
        <v>13059</v>
      </c>
      <c r="E38" s="46" t="s">
        <v>181</v>
      </c>
      <c r="F38" s="49">
        <f>35000*3</f>
        <v>105000</v>
      </c>
      <c r="G38" s="49">
        <f>35000*3</f>
        <v>105000</v>
      </c>
      <c r="H38" s="35">
        <v>0</v>
      </c>
      <c r="I38" s="35">
        <f t="shared" si="0"/>
        <v>105000</v>
      </c>
      <c r="J38" s="36">
        <f t="shared" si="1"/>
        <v>0</v>
      </c>
      <c r="K38" s="48" t="s">
        <v>14</v>
      </c>
      <c r="L38" s="48" t="s">
        <v>14</v>
      </c>
      <c r="M38" s="38">
        <v>42916</v>
      </c>
      <c r="N38" s="48" t="s">
        <v>18</v>
      </c>
      <c r="O38" s="41">
        <v>35000</v>
      </c>
      <c r="P38" s="41">
        <v>35000</v>
      </c>
      <c r="Q38" s="41">
        <v>35000</v>
      </c>
      <c r="R38" s="41"/>
      <c r="S38" s="58"/>
      <c r="T38" s="58"/>
    </row>
    <row r="39" spans="1:20" s="15" customFormat="1" ht="18" customHeight="1" x14ac:dyDescent="0.2">
      <c r="A39" s="43" t="s">
        <v>164</v>
      </c>
      <c r="B39" s="46" t="s">
        <v>20</v>
      </c>
      <c r="C39" s="44" t="s">
        <v>74</v>
      </c>
      <c r="D39" s="47">
        <v>13006</v>
      </c>
      <c r="E39" s="46" t="s">
        <v>182</v>
      </c>
      <c r="F39" s="35">
        <f>15000*3</f>
        <v>45000</v>
      </c>
      <c r="G39" s="35">
        <f>15000*3</f>
        <v>45000</v>
      </c>
      <c r="H39" s="35">
        <v>0</v>
      </c>
      <c r="I39" s="35">
        <f t="shared" si="0"/>
        <v>45000</v>
      </c>
      <c r="J39" s="36">
        <f t="shared" si="1"/>
        <v>0</v>
      </c>
      <c r="K39" s="48" t="s">
        <v>14</v>
      </c>
      <c r="L39" s="48" t="s">
        <v>14</v>
      </c>
      <c r="M39" s="52">
        <v>42916</v>
      </c>
      <c r="N39" s="48" t="s">
        <v>18</v>
      </c>
      <c r="O39" s="41">
        <v>15000</v>
      </c>
      <c r="P39" s="41">
        <v>15000</v>
      </c>
      <c r="Q39" s="41">
        <v>15000</v>
      </c>
      <c r="R39" s="41"/>
      <c r="S39" s="58"/>
      <c r="T39" s="58"/>
    </row>
    <row r="40" spans="1:20" s="15" customFormat="1" ht="26.25" customHeight="1" x14ac:dyDescent="0.2">
      <c r="A40" s="43" t="s">
        <v>183</v>
      </c>
      <c r="B40" s="46" t="s">
        <v>26</v>
      </c>
      <c r="C40" s="44" t="s">
        <v>55</v>
      </c>
      <c r="D40" s="54" t="s">
        <v>208</v>
      </c>
      <c r="E40" s="46" t="s">
        <v>53</v>
      </c>
      <c r="F40" s="35">
        <v>50000</v>
      </c>
      <c r="G40" s="35">
        <v>5000</v>
      </c>
      <c r="H40" s="35">
        <f>94000+50000</f>
        <v>144000</v>
      </c>
      <c r="I40" s="35">
        <f t="shared" si="0"/>
        <v>149000</v>
      </c>
      <c r="J40" s="36">
        <f t="shared" si="1"/>
        <v>28.8</v>
      </c>
      <c r="K40" s="48" t="s">
        <v>14</v>
      </c>
      <c r="L40" s="48" t="s">
        <v>14</v>
      </c>
      <c r="M40" s="38">
        <v>42551</v>
      </c>
      <c r="N40" s="48" t="s">
        <v>28</v>
      </c>
      <c r="O40" s="41">
        <v>50000</v>
      </c>
      <c r="P40" s="41"/>
      <c r="Q40" s="41"/>
      <c r="R40" s="41"/>
      <c r="S40" s="58"/>
      <c r="T40" s="58"/>
    </row>
    <row r="41" spans="1:20" s="15" customFormat="1" ht="26.25" customHeight="1" x14ac:dyDescent="0.2">
      <c r="A41" s="43" t="s">
        <v>184</v>
      </c>
      <c r="B41" s="46" t="s">
        <v>26</v>
      </c>
      <c r="C41" s="44" t="s">
        <v>27</v>
      </c>
      <c r="D41" s="54" t="s">
        <v>209</v>
      </c>
      <c r="E41" s="46" t="s">
        <v>210</v>
      </c>
      <c r="F41" s="35">
        <v>95000</v>
      </c>
      <c r="G41" s="35">
        <v>95000</v>
      </c>
      <c r="H41" s="35">
        <v>0</v>
      </c>
      <c r="I41" s="35">
        <f t="shared" si="0"/>
        <v>95000</v>
      </c>
      <c r="J41" s="36">
        <f t="shared" si="1"/>
        <v>0</v>
      </c>
      <c r="K41" s="48" t="s">
        <v>14</v>
      </c>
      <c r="L41" s="48" t="s">
        <v>14</v>
      </c>
      <c r="M41" s="38">
        <v>42916</v>
      </c>
      <c r="N41" s="48"/>
      <c r="O41" s="41">
        <v>95000</v>
      </c>
      <c r="P41" s="41"/>
      <c r="Q41" s="41"/>
      <c r="R41" s="41"/>
      <c r="S41" s="58"/>
      <c r="T41" s="58"/>
    </row>
    <row r="42" spans="1:20" s="15" customFormat="1" ht="26.25" customHeight="1" x14ac:dyDescent="0.2">
      <c r="A42" s="43" t="s">
        <v>185</v>
      </c>
      <c r="B42" s="46" t="s">
        <v>69</v>
      </c>
      <c r="C42" s="44" t="s">
        <v>200</v>
      </c>
      <c r="D42" s="34">
        <v>12967</v>
      </c>
      <c r="E42" s="46" t="s">
        <v>216</v>
      </c>
      <c r="F42" s="40">
        <v>64082</v>
      </c>
      <c r="G42" s="40">
        <v>64082</v>
      </c>
      <c r="H42" s="35">
        <v>0</v>
      </c>
      <c r="I42" s="35">
        <f t="shared" si="0"/>
        <v>64082</v>
      </c>
      <c r="J42" s="36">
        <f t="shared" si="1"/>
        <v>0</v>
      </c>
      <c r="K42" s="48" t="s">
        <v>14</v>
      </c>
      <c r="L42" s="48" t="s">
        <v>14</v>
      </c>
      <c r="M42" s="38">
        <v>42735</v>
      </c>
      <c r="N42" s="48"/>
      <c r="O42" s="41">
        <v>64082</v>
      </c>
      <c r="P42" s="41"/>
      <c r="Q42" s="41"/>
      <c r="R42" s="41"/>
      <c r="S42" s="58"/>
      <c r="T42" s="58"/>
    </row>
    <row r="43" spans="1:20" s="15" customFormat="1" ht="26.25" customHeight="1" x14ac:dyDescent="0.2">
      <c r="A43" s="43" t="s">
        <v>186</v>
      </c>
      <c r="B43" s="46" t="s">
        <v>21</v>
      </c>
      <c r="C43" s="44" t="s">
        <v>76</v>
      </c>
      <c r="D43" s="34">
        <v>12972</v>
      </c>
      <c r="E43" s="46" t="s">
        <v>217</v>
      </c>
      <c r="F43" s="35">
        <f>50000*3</f>
        <v>150000</v>
      </c>
      <c r="G43" s="35">
        <f>50000*3</f>
        <v>150000</v>
      </c>
      <c r="H43" s="35">
        <v>0</v>
      </c>
      <c r="I43" s="35">
        <f t="shared" si="0"/>
        <v>150000</v>
      </c>
      <c r="J43" s="36">
        <f t="shared" si="1"/>
        <v>0</v>
      </c>
      <c r="K43" s="48" t="s">
        <v>14</v>
      </c>
      <c r="L43" s="48" t="s">
        <v>14</v>
      </c>
      <c r="M43" s="38">
        <v>42916</v>
      </c>
      <c r="N43" s="48" t="s">
        <v>18</v>
      </c>
      <c r="O43" s="41">
        <v>50000</v>
      </c>
      <c r="P43" s="41">
        <v>50000</v>
      </c>
      <c r="Q43" s="41">
        <v>50000</v>
      </c>
      <c r="R43" s="41"/>
      <c r="S43" s="58"/>
      <c r="T43" s="58"/>
    </row>
    <row r="44" spans="1:20" s="15" customFormat="1" ht="26.25" customHeight="1" x14ac:dyDescent="0.2">
      <c r="A44" s="43" t="s">
        <v>187</v>
      </c>
      <c r="B44" s="46" t="s">
        <v>21</v>
      </c>
      <c r="C44" s="44" t="s">
        <v>201</v>
      </c>
      <c r="D44" s="34">
        <v>12973</v>
      </c>
      <c r="E44" s="46" t="s">
        <v>218</v>
      </c>
      <c r="F44" s="35">
        <f>50000*3</f>
        <v>150000</v>
      </c>
      <c r="G44" s="35">
        <f>50000*3</f>
        <v>150000</v>
      </c>
      <c r="H44" s="35">
        <v>0</v>
      </c>
      <c r="I44" s="35">
        <f t="shared" si="0"/>
        <v>150000</v>
      </c>
      <c r="J44" s="36">
        <f t="shared" si="1"/>
        <v>0</v>
      </c>
      <c r="K44" s="48" t="s">
        <v>14</v>
      </c>
      <c r="L44" s="48" t="s">
        <v>14</v>
      </c>
      <c r="M44" s="38">
        <v>42916</v>
      </c>
      <c r="N44" s="48" t="s">
        <v>18</v>
      </c>
      <c r="O44" s="41">
        <v>50000</v>
      </c>
      <c r="P44" s="41">
        <v>50000</v>
      </c>
      <c r="Q44" s="41">
        <v>50000</v>
      </c>
      <c r="R44" s="41"/>
      <c r="S44" s="58"/>
      <c r="T44" s="58"/>
    </row>
    <row r="45" spans="1:20" s="15" customFormat="1" ht="26.25" customHeight="1" x14ac:dyDescent="0.2">
      <c r="A45" s="43" t="s">
        <v>188</v>
      </c>
      <c r="B45" s="46" t="s">
        <v>21</v>
      </c>
      <c r="C45" s="44" t="s">
        <v>202</v>
      </c>
      <c r="D45" s="34">
        <v>12974</v>
      </c>
      <c r="E45" s="46" t="s">
        <v>219</v>
      </c>
      <c r="F45" s="49">
        <f>90000*3</f>
        <v>270000</v>
      </c>
      <c r="G45" s="49">
        <f>90000*3</f>
        <v>270000</v>
      </c>
      <c r="H45" s="49">
        <v>0</v>
      </c>
      <c r="I45" s="35">
        <f t="shared" si="0"/>
        <v>270000</v>
      </c>
      <c r="J45" s="36">
        <f t="shared" si="1"/>
        <v>0</v>
      </c>
      <c r="K45" s="48" t="s">
        <v>14</v>
      </c>
      <c r="L45" s="48" t="s">
        <v>14</v>
      </c>
      <c r="M45" s="38">
        <v>42916</v>
      </c>
      <c r="N45" s="48" t="s">
        <v>18</v>
      </c>
      <c r="O45" s="41">
        <v>90000</v>
      </c>
      <c r="P45" s="41">
        <v>90000</v>
      </c>
      <c r="Q45" s="41">
        <v>90000</v>
      </c>
      <c r="R45" s="41"/>
      <c r="S45" s="58"/>
      <c r="T45" s="58"/>
    </row>
    <row r="46" spans="1:20" s="15" customFormat="1" ht="26.25" customHeight="1" x14ac:dyDescent="0.2">
      <c r="A46" s="43" t="s">
        <v>189</v>
      </c>
      <c r="B46" s="46" t="s">
        <v>20</v>
      </c>
      <c r="C46" s="44" t="s">
        <v>65</v>
      </c>
      <c r="D46" s="47">
        <v>13325</v>
      </c>
      <c r="E46" s="46" t="s">
        <v>220</v>
      </c>
      <c r="F46" s="35">
        <f>99000*3</f>
        <v>297000</v>
      </c>
      <c r="G46" s="35">
        <f>99000*3</f>
        <v>297000</v>
      </c>
      <c r="H46" s="35">
        <v>0</v>
      </c>
      <c r="I46" s="35">
        <f t="shared" si="0"/>
        <v>297000</v>
      </c>
      <c r="J46" s="36">
        <f t="shared" si="1"/>
        <v>0</v>
      </c>
      <c r="K46" s="48" t="s">
        <v>14</v>
      </c>
      <c r="L46" s="48" t="s">
        <v>15</v>
      </c>
      <c r="M46" s="38">
        <v>42958</v>
      </c>
      <c r="N46" s="48" t="s">
        <v>18</v>
      </c>
      <c r="O46" s="41">
        <v>99000</v>
      </c>
      <c r="P46" s="41">
        <v>99000</v>
      </c>
      <c r="Q46" s="41">
        <v>99000</v>
      </c>
      <c r="R46" s="41"/>
      <c r="S46" s="58"/>
      <c r="T46" s="58"/>
    </row>
    <row r="47" spans="1:20" s="15" customFormat="1" ht="26.25" customHeight="1" x14ac:dyDescent="0.2">
      <c r="A47" s="43" t="s">
        <v>190</v>
      </c>
      <c r="B47" s="46" t="s">
        <v>69</v>
      </c>
      <c r="C47" s="44" t="s">
        <v>203</v>
      </c>
      <c r="D47" s="34">
        <v>13002</v>
      </c>
      <c r="E47" s="46" t="s">
        <v>221</v>
      </c>
      <c r="F47" s="35">
        <v>99000</v>
      </c>
      <c r="G47" s="35">
        <v>99000</v>
      </c>
      <c r="H47" s="35">
        <v>0</v>
      </c>
      <c r="I47" s="35">
        <f t="shared" si="0"/>
        <v>99000</v>
      </c>
      <c r="J47" s="36">
        <f t="shared" si="1"/>
        <v>0</v>
      </c>
      <c r="K47" s="48" t="s">
        <v>14</v>
      </c>
      <c r="L47" s="48" t="s">
        <v>15</v>
      </c>
      <c r="M47" s="38">
        <v>42794</v>
      </c>
      <c r="N47" s="48"/>
      <c r="O47" s="56">
        <v>99000</v>
      </c>
      <c r="P47" s="41"/>
      <c r="Q47" s="41"/>
      <c r="R47" s="41"/>
      <c r="S47" s="58"/>
      <c r="T47" s="58"/>
    </row>
    <row r="48" spans="1:20" s="15" customFormat="1" ht="26.25" customHeight="1" x14ac:dyDescent="0.2">
      <c r="A48" s="43" t="s">
        <v>191</v>
      </c>
      <c r="B48" s="46" t="s">
        <v>21</v>
      </c>
      <c r="C48" s="44" t="s">
        <v>204</v>
      </c>
      <c r="D48" s="34">
        <v>13009</v>
      </c>
      <c r="E48" s="46" t="s">
        <v>222</v>
      </c>
      <c r="F48" s="49">
        <f>90000*3</f>
        <v>270000</v>
      </c>
      <c r="G48" s="49">
        <f>90000*3</f>
        <v>270000</v>
      </c>
      <c r="H48" s="49">
        <v>0</v>
      </c>
      <c r="I48" s="35">
        <f t="shared" si="0"/>
        <v>270000</v>
      </c>
      <c r="J48" s="36">
        <f t="shared" si="1"/>
        <v>0</v>
      </c>
      <c r="K48" s="48" t="s">
        <v>14</v>
      </c>
      <c r="L48" s="48" t="s">
        <v>14</v>
      </c>
      <c r="M48" s="38">
        <v>42916</v>
      </c>
      <c r="N48" s="48" t="s">
        <v>18</v>
      </c>
      <c r="O48" s="41">
        <v>90000</v>
      </c>
      <c r="P48" s="41">
        <v>90000</v>
      </c>
      <c r="Q48" s="41">
        <v>90000</v>
      </c>
      <c r="R48" s="41"/>
      <c r="S48" s="58"/>
      <c r="T48" s="58"/>
    </row>
    <row r="49" spans="1:20" s="15" customFormat="1" ht="26.25" customHeight="1" x14ac:dyDescent="0.2">
      <c r="A49" s="43" t="s">
        <v>192</v>
      </c>
      <c r="B49" s="46" t="s">
        <v>21</v>
      </c>
      <c r="C49" s="44" t="s">
        <v>205</v>
      </c>
      <c r="D49" s="34">
        <v>13011</v>
      </c>
      <c r="E49" s="46" t="s">
        <v>223</v>
      </c>
      <c r="F49" s="49">
        <f>90000*3</f>
        <v>270000</v>
      </c>
      <c r="G49" s="49">
        <f>90000*3</f>
        <v>270000</v>
      </c>
      <c r="H49" s="49">
        <v>0</v>
      </c>
      <c r="I49" s="35">
        <f t="shared" si="0"/>
        <v>270000</v>
      </c>
      <c r="J49" s="36">
        <f>IF(G49=0,100%,(I49-G49)/G49)</f>
        <v>0</v>
      </c>
      <c r="K49" s="48" t="s">
        <v>14</v>
      </c>
      <c r="L49" s="48" t="s">
        <v>14</v>
      </c>
      <c r="M49" s="38">
        <v>42916</v>
      </c>
      <c r="N49" s="48" t="s">
        <v>18</v>
      </c>
      <c r="O49" s="41">
        <v>90000</v>
      </c>
      <c r="P49" s="41">
        <v>90000</v>
      </c>
      <c r="Q49" s="41">
        <v>90000</v>
      </c>
      <c r="R49" s="41"/>
      <c r="S49" s="58"/>
      <c r="T49" s="58"/>
    </row>
    <row r="50" spans="1:20" s="15" customFormat="1" ht="26.25" customHeight="1" x14ac:dyDescent="0.2">
      <c r="A50" s="43" t="s">
        <v>193</v>
      </c>
      <c r="B50" s="46" t="s">
        <v>25</v>
      </c>
      <c r="C50" s="44" t="s">
        <v>61</v>
      </c>
      <c r="D50" s="34">
        <v>13021</v>
      </c>
      <c r="E50" s="46" t="s">
        <v>224</v>
      </c>
      <c r="F50" s="35">
        <f>99000*2</f>
        <v>198000</v>
      </c>
      <c r="G50" s="35">
        <f>99000*2</f>
        <v>198000</v>
      </c>
      <c r="H50" s="35">
        <v>0</v>
      </c>
      <c r="I50" s="35">
        <f t="shared" si="0"/>
        <v>198000</v>
      </c>
      <c r="J50" s="36">
        <f>IF(G50=0,100%,(I50-G50)/G50)</f>
        <v>0</v>
      </c>
      <c r="K50" s="48" t="s">
        <v>14</v>
      </c>
      <c r="L50" s="48" t="s">
        <v>14</v>
      </c>
      <c r="M50" s="38">
        <v>42916</v>
      </c>
      <c r="N50" s="48" t="s">
        <v>18</v>
      </c>
      <c r="O50" s="35">
        <v>99000</v>
      </c>
      <c r="P50" s="35">
        <v>99000</v>
      </c>
      <c r="Q50" s="35"/>
      <c r="R50" s="35"/>
      <c r="S50" s="58"/>
      <c r="T50" s="58"/>
    </row>
    <row r="51" spans="1:20" s="15" customFormat="1" ht="26.25" customHeight="1" x14ac:dyDescent="0.2">
      <c r="A51" s="43" t="s">
        <v>194</v>
      </c>
      <c r="B51" s="46" t="s">
        <v>199</v>
      </c>
      <c r="C51" s="44" t="s">
        <v>206</v>
      </c>
      <c r="D51" s="34">
        <v>13022</v>
      </c>
      <c r="E51" s="46" t="s">
        <v>225</v>
      </c>
      <c r="F51" s="35">
        <f>98880*3</f>
        <v>296640</v>
      </c>
      <c r="G51" s="35">
        <f>98880*3</f>
        <v>296640</v>
      </c>
      <c r="H51" s="35">
        <v>0</v>
      </c>
      <c r="I51" s="35">
        <f t="shared" si="0"/>
        <v>296640</v>
      </c>
      <c r="J51" s="36">
        <f>IF(G51=0,100%,(I51-G51)/G51)</f>
        <v>0</v>
      </c>
      <c r="K51" s="48" t="s">
        <v>14</v>
      </c>
      <c r="L51" s="48" t="s">
        <v>14</v>
      </c>
      <c r="M51" s="38">
        <v>42916</v>
      </c>
      <c r="N51" s="48" t="s">
        <v>18</v>
      </c>
      <c r="O51" s="35">
        <f>98880</f>
        <v>98880</v>
      </c>
      <c r="P51" s="35">
        <f>98880</f>
        <v>98880</v>
      </c>
      <c r="Q51" s="35">
        <f>98880</f>
        <v>98880</v>
      </c>
      <c r="R51" s="35"/>
      <c r="S51" s="58"/>
      <c r="T51" s="58"/>
    </row>
    <row r="52" spans="1:20" s="15" customFormat="1" ht="26.25" customHeight="1" x14ac:dyDescent="0.2">
      <c r="A52" s="43" t="s">
        <v>195</v>
      </c>
      <c r="B52" s="46" t="s">
        <v>21</v>
      </c>
      <c r="C52" s="44" t="s">
        <v>207</v>
      </c>
      <c r="D52" s="47">
        <v>13043</v>
      </c>
      <c r="E52" s="46" t="s">
        <v>226</v>
      </c>
      <c r="F52" s="35">
        <f>95000*3</f>
        <v>285000</v>
      </c>
      <c r="G52" s="35">
        <f>95000*3</f>
        <v>285000</v>
      </c>
      <c r="H52" s="35">
        <v>0</v>
      </c>
      <c r="I52" s="35">
        <f t="shared" si="0"/>
        <v>285000</v>
      </c>
      <c r="J52" s="36">
        <f t="shared" ref="J52:J66" si="2">IF(G52=0,100%,(I52-G52)/G52)</f>
        <v>0</v>
      </c>
      <c r="K52" s="48" t="s">
        <v>14</v>
      </c>
      <c r="L52" s="48" t="s">
        <v>14</v>
      </c>
      <c r="M52" s="38">
        <v>42916</v>
      </c>
      <c r="N52" s="48" t="s">
        <v>18</v>
      </c>
      <c r="O52" s="35">
        <v>95000</v>
      </c>
      <c r="P52" s="35">
        <v>95000</v>
      </c>
      <c r="Q52" s="35">
        <v>95000</v>
      </c>
      <c r="R52" s="35"/>
      <c r="S52" s="58"/>
      <c r="T52" s="58"/>
    </row>
    <row r="53" spans="1:20" s="15" customFormat="1" ht="26.25" customHeight="1" x14ac:dyDescent="0.2">
      <c r="A53" s="43" t="s">
        <v>196</v>
      </c>
      <c r="B53" s="46" t="s">
        <v>26</v>
      </c>
      <c r="C53" s="44" t="s">
        <v>66</v>
      </c>
      <c r="D53" s="54">
        <v>13050</v>
      </c>
      <c r="E53" s="46" t="s">
        <v>67</v>
      </c>
      <c r="F53" s="35">
        <v>99000</v>
      </c>
      <c r="G53" s="40">
        <v>40000</v>
      </c>
      <c r="H53" s="35">
        <f>35100+27000+50000+99000</f>
        <v>211100</v>
      </c>
      <c r="I53" s="35">
        <f t="shared" si="0"/>
        <v>251100</v>
      </c>
      <c r="J53" s="36">
        <f t="shared" si="2"/>
        <v>5.2774999999999999</v>
      </c>
      <c r="K53" s="48" t="s">
        <v>14</v>
      </c>
      <c r="L53" s="48" t="s">
        <v>14</v>
      </c>
      <c r="M53" s="38">
        <v>42916</v>
      </c>
      <c r="N53" s="48" t="s">
        <v>28</v>
      </c>
      <c r="O53" s="35">
        <v>99000</v>
      </c>
      <c r="P53" s="35"/>
      <c r="Q53" s="35"/>
      <c r="R53" s="35"/>
      <c r="S53" s="58"/>
      <c r="T53" s="58"/>
    </row>
    <row r="54" spans="1:20" s="15" customFormat="1" ht="26.25" customHeight="1" x14ac:dyDescent="0.2">
      <c r="A54" s="43" t="s">
        <v>197</v>
      </c>
      <c r="B54" s="46" t="s">
        <v>69</v>
      </c>
      <c r="C54" s="44" t="s">
        <v>80</v>
      </c>
      <c r="D54" s="34">
        <v>13076</v>
      </c>
      <c r="E54" s="46" t="s">
        <v>227</v>
      </c>
      <c r="F54" s="35">
        <f>93000*3</f>
        <v>279000</v>
      </c>
      <c r="G54" s="35">
        <f>93000*3</f>
        <v>279000</v>
      </c>
      <c r="H54" s="35">
        <v>0</v>
      </c>
      <c r="I54" s="35">
        <f t="shared" si="0"/>
        <v>279000</v>
      </c>
      <c r="J54" s="36">
        <f t="shared" si="2"/>
        <v>0</v>
      </c>
      <c r="K54" s="48" t="s">
        <v>14</v>
      </c>
      <c r="L54" s="48" t="s">
        <v>14</v>
      </c>
      <c r="M54" s="38">
        <v>42978</v>
      </c>
      <c r="N54" s="48" t="s">
        <v>18</v>
      </c>
      <c r="O54" s="35">
        <v>93000</v>
      </c>
      <c r="P54" s="35">
        <v>93000</v>
      </c>
      <c r="Q54" s="35">
        <v>93000</v>
      </c>
      <c r="R54" s="35"/>
      <c r="S54" s="58"/>
      <c r="T54" s="58"/>
    </row>
    <row r="55" spans="1:20" s="15" customFormat="1" ht="26.25" customHeight="1" x14ac:dyDescent="0.2">
      <c r="A55" s="43" t="s">
        <v>198</v>
      </c>
      <c r="B55" s="46" t="s">
        <v>31</v>
      </c>
      <c r="C55" s="44" t="s">
        <v>71</v>
      </c>
      <c r="D55" s="54">
        <v>13087</v>
      </c>
      <c r="E55" s="46" t="s">
        <v>228</v>
      </c>
      <c r="F55" s="35">
        <f>60000*3</f>
        <v>180000</v>
      </c>
      <c r="G55" s="35">
        <f>60000*3</f>
        <v>180000</v>
      </c>
      <c r="H55" s="35">
        <v>0</v>
      </c>
      <c r="I55" s="35">
        <f t="shared" si="0"/>
        <v>180000</v>
      </c>
      <c r="J55" s="36">
        <f t="shared" si="2"/>
        <v>0</v>
      </c>
      <c r="K55" s="48" t="s">
        <v>14</v>
      </c>
      <c r="L55" s="48" t="s">
        <v>14</v>
      </c>
      <c r="M55" s="38">
        <v>42916</v>
      </c>
      <c r="N55" s="48" t="s">
        <v>18</v>
      </c>
      <c r="O55" s="35">
        <v>60000</v>
      </c>
      <c r="P55" s="35">
        <v>60000</v>
      </c>
      <c r="Q55" s="35">
        <v>60000</v>
      </c>
      <c r="R55" s="35"/>
      <c r="S55" s="58"/>
      <c r="T55" s="58"/>
    </row>
    <row r="56" spans="1:20" s="15" customFormat="1" ht="26.25" customHeight="1" x14ac:dyDescent="0.2">
      <c r="A56" s="43" t="s">
        <v>211</v>
      </c>
      <c r="B56" s="46" t="s">
        <v>21</v>
      </c>
      <c r="C56" s="44" t="s">
        <v>24</v>
      </c>
      <c r="D56" s="34">
        <v>12794</v>
      </c>
      <c r="E56" s="46" t="s">
        <v>231</v>
      </c>
      <c r="F56" s="35">
        <v>82794</v>
      </c>
      <c r="G56" s="40">
        <v>82794</v>
      </c>
      <c r="H56" s="35">
        <v>0</v>
      </c>
      <c r="I56" s="35">
        <f t="shared" si="0"/>
        <v>82794</v>
      </c>
      <c r="J56" s="36">
        <f t="shared" si="2"/>
        <v>0</v>
      </c>
      <c r="K56" s="48" t="s">
        <v>15</v>
      </c>
      <c r="L56" s="48" t="s">
        <v>15</v>
      </c>
      <c r="M56" s="38">
        <v>42916</v>
      </c>
      <c r="N56" s="48"/>
      <c r="O56" s="35">
        <v>82794</v>
      </c>
      <c r="P56" s="35"/>
      <c r="Q56" s="35"/>
      <c r="R56" s="35"/>
      <c r="S56" s="58"/>
      <c r="T56" s="58"/>
    </row>
    <row r="57" spans="1:20" s="15" customFormat="1" ht="26.25" customHeight="1" x14ac:dyDescent="0.2">
      <c r="A57" s="43" t="s">
        <v>212</v>
      </c>
      <c r="B57" s="46" t="s">
        <v>214</v>
      </c>
      <c r="C57" s="44" t="s">
        <v>215</v>
      </c>
      <c r="D57" s="34">
        <v>13121</v>
      </c>
      <c r="E57" s="46" t="s">
        <v>230</v>
      </c>
      <c r="F57" s="35">
        <f>92920*2</f>
        <v>185840</v>
      </c>
      <c r="G57" s="35">
        <f>92920*2</f>
        <v>185840</v>
      </c>
      <c r="H57" s="35">
        <v>0</v>
      </c>
      <c r="I57" s="35">
        <f t="shared" si="0"/>
        <v>185840</v>
      </c>
      <c r="J57" s="36">
        <f t="shared" si="2"/>
        <v>0</v>
      </c>
      <c r="K57" s="48" t="s">
        <v>14</v>
      </c>
      <c r="L57" s="48" t="s">
        <v>14</v>
      </c>
      <c r="M57" s="38">
        <v>42958</v>
      </c>
      <c r="N57" s="48" t="s">
        <v>18</v>
      </c>
      <c r="O57" s="35">
        <v>92920</v>
      </c>
      <c r="P57" s="35">
        <v>92920</v>
      </c>
      <c r="Q57" s="35"/>
      <c r="R57" s="35"/>
      <c r="S57" s="58"/>
      <c r="T57" s="58"/>
    </row>
    <row r="58" spans="1:20" s="15" customFormat="1" ht="18" customHeight="1" x14ac:dyDescent="0.2">
      <c r="A58" s="43" t="s">
        <v>213</v>
      </c>
      <c r="B58" s="46" t="s">
        <v>36</v>
      </c>
      <c r="C58" s="44" t="s">
        <v>68</v>
      </c>
      <c r="D58" s="54">
        <v>13147</v>
      </c>
      <c r="E58" s="46" t="s">
        <v>229</v>
      </c>
      <c r="F58" s="35">
        <v>61708</v>
      </c>
      <c r="G58" s="40">
        <v>975237</v>
      </c>
      <c r="H58" s="35">
        <v>61708</v>
      </c>
      <c r="I58" s="35">
        <f t="shared" si="0"/>
        <v>1036945</v>
      </c>
      <c r="J58" s="36">
        <f t="shared" si="2"/>
        <v>6.327487574815148E-2</v>
      </c>
      <c r="K58" s="48" t="s">
        <v>14</v>
      </c>
      <c r="L58" s="48" t="s">
        <v>14</v>
      </c>
      <c r="M58" s="38">
        <v>42794</v>
      </c>
      <c r="N58" s="48" t="s">
        <v>28</v>
      </c>
      <c r="O58" s="35">
        <v>61708</v>
      </c>
      <c r="P58" s="35"/>
      <c r="Q58" s="35"/>
      <c r="R58" s="35"/>
      <c r="S58" s="58"/>
      <c r="T58" s="58"/>
    </row>
    <row r="59" spans="1:20" s="15" customFormat="1" ht="26.25" customHeight="1" x14ac:dyDescent="0.2">
      <c r="A59" s="43" t="s">
        <v>232</v>
      </c>
      <c r="B59" s="46" t="s">
        <v>31</v>
      </c>
      <c r="C59" s="44" t="s">
        <v>253</v>
      </c>
      <c r="D59" s="54">
        <v>12835</v>
      </c>
      <c r="E59" s="46" t="s">
        <v>269</v>
      </c>
      <c r="F59" s="35">
        <f>14500*3</f>
        <v>43500</v>
      </c>
      <c r="G59" s="35">
        <f>14500*3</f>
        <v>43500</v>
      </c>
      <c r="H59" s="35">
        <v>0</v>
      </c>
      <c r="I59" s="35">
        <f t="shared" si="0"/>
        <v>43500</v>
      </c>
      <c r="J59" s="36">
        <f t="shared" si="2"/>
        <v>0</v>
      </c>
      <c r="K59" s="48" t="s">
        <v>14</v>
      </c>
      <c r="L59" s="48" t="s">
        <v>14</v>
      </c>
      <c r="M59" s="38">
        <v>42916</v>
      </c>
      <c r="N59" s="48" t="s">
        <v>18</v>
      </c>
      <c r="O59" s="35">
        <v>14500</v>
      </c>
      <c r="P59" s="35">
        <v>14500</v>
      </c>
      <c r="Q59" s="35">
        <v>14500</v>
      </c>
      <c r="R59" s="35"/>
      <c r="S59" s="58"/>
      <c r="T59" s="58"/>
    </row>
    <row r="60" spans="1:20" s="15" customFormat="1" ht="26.25" customHeight="1" x14ac:dyDescent="0.2">
      <c r="A60" s="43" t="s">
        <v>233</v>
      </c>
      <c r="B60" s="46" t="s">
        <v>19</v>
      </c>
      <c r="C60" s="44" t="s">
        <v>254</v>
      </c>
      <c r="D60" s="47">
        <v>13016</v>
      </c>
      <c r="E60" s="46" t="s">
        <v>270</v>
      </c>
      <c r="F60" s="35">
        <v>10000</v>
      </c>
      <c r="G60" s="40">
        <v>10000</v>
      </c>
      <c r="H60" s="35">
        <v>0</v>
      </c>
      <c r="I60" s="35">
        <f t="shared" si="0"/>
        <v>10000</v>
      </c>
      <c r="J60" s="36">
        <f t="shared" si="2"/>
        <v>0</v>
      </c>
      <c r="K60" s="48" t="s">
        <v>14</v>
      </c>
      <c r="L60" s="48" t="s">
        <v>14</v>
      </c>
      <c r="M60" s="38">
        <v>42916</v>
      </c>
      <c r="N60" s="48"/>
      <c r="O60" s="35">
        <v>10000</v>
      </c>
      <c r="P60" s="35"/>
      <c r="Q60" s="35"/>
      <c r="R60" s="35"/>
      <c r="S60" s="58"/>
      <c r="T60" s="58"/>
    </row>
    <row r="61" spans="1:20" s="15" customFormat="1" ht="18" customHeight="1" x14ac:dyDescent="0.2">
      <c r="A61" s="43" t="s">
        <v>234</v>
      </c>
      <c r="B61" s="46" t="s">
        <v>20</v>
      </c>
      <c r="C61" s="44" t="s">
        <v>255</v>
      </c>
      <c r="D61" s="47">
        <v>13037</v>
      </c>
      <c r="E61" s="46" t="s">
        <v>271</v>
      </c>
      <c r="F61" s="35">
        <f>5500*3</f>
        <v>16500</v>
      </c>
      <c r="G61" s="35">
        <f>5500*3</f>
        <v>16500</v>
      </c>
      <c r="H61" s="35">
        <v>0</v>
      </c>
      <c r="I61" s="35">
        <f t="shared" si="0"/>
        <v>16500</v>
      </c>
      <c r="J61" s="36">
        <f t="shared" si="2"/>
        <v>0</v>
      </c>
      <c r="K61" s="48" t="s">
        <v>14</v>
      </c>
      <c r="L61" s="48" t="s">
        <v>14</v>
      </c>
      <c r="M61" s="38">
        <v>42916</v>
      </c>
      <c r="N61" s="48" t="s">
        <v>18</v>
      </c>
      <c r="O61" s="35">
        <v>5500</v>
      </c>
      <c r="P61" s="35">
        <v>5500</v>
      </c>
      <c r="Q61" s="35">
        <v>5500</v>
      </c>
      <c r="R61" s="35"/>
      <c r="S61" s="58"/>
      <c r="T61" s="58"/>
    </row>
    <row r="62" spans="1:20" s="15" customFormat="1" ht="26.25" customHeight="1" x14ac:dyDescent="0.2">
      <c r="A62" s="43" t="s">
        <v>235</v>
      </c>
      <c r="B62" s="46" t="s">
        <v>22</v>
      </c>
      <c r="C62" s="44" t="s">
        <v>256</v>
      </c>
      <c r="D62" s="47">
        <v>13045</v>
      </c>
      <c r="E62" s="46" t="s">
        <v>272</v>
      </c>
      <c r="F62" s="35">
        <f>49000*3</f>
        <v>147000</v>
      </c>
      <c r="G62" s="35">
        <f>49000*3</f>
        <v>147000</v>
      </c>
      <c r="H62" s="35">
        <v>0</v>
      </c>
      <c r="I62" s="35">
        <f t="shared" si="0"/>
        <v>147000</v>
      </c>
      <c r="J62" s="36">
        <f t="shared" si="2"/>
        <v>0</v>
      </c>
      <c r="K62" s="48" t="s">
        <v>14</v>
      </c>
      <c r="L62" s="48" t="s">
        <v>15</v>
      </c>
      <c r="M62" s="38">
        <v>42916</v>
      </c>
      <c r="N62" s="48" t="s">
        <v>18</v>
      </c>
      <c r="O62" s="35">
        <v>49000</v>
      </c>
      <c r="P62" s="35">
        <v>49000</v>
      </c>
      <c r="Q62" s="35">
        <v>49000</v>
      </c>
      <c r="R62" s="35"/>
      <c r="S62" s="58"/>
      <c r="T62" s="58"/>
    </row>
    <row r="63" spans="1:20" s="15" customFormat="1" ht="26.25" customHeight="1" x14ac:dyDescent="0.2">
      <c r="A63" s="43" t="s">
        <v>236</v>
      </c>
      <c r="B63" s="46" t="s">
        <v>31</v>
      </c>
      <c r="C63" s="44" t="s">
        <v>257</v>
      </c>
      <c r="D63" s="47">
        <v>13088</v>
      </c>
      <c r="E63" s="46" t="s">
        <v>273</v>
      </c>
      <c r="F63" s="35">
        <v>15000</v>
      </c>
      <c r="G63" s="35">
        <v>15000</v>
      </c>
      <c r="H63" s="35">
        <v>0</v>
      </c>
      <c r="I63" s="35">
        <f t="shared" si="0"/>
        <v>15000</v>
      </c>
      <c r="J63" s="36">
        <f t="shared" si="2"/>
        <v>0</v>
      </c>
      <c r="K63" s="48" t="s">
        <v>14</v>
      </c>
      <c r="L63" s="48" t="s">
        <v>15</v>
      </c>
      <c r="M63" s="38">
        <v>42916</v>
      </c>
      <c r="N63" s="48"/>
      <c r="O63" s="35">
        <v>15000</v>
      </c>
      <c r="P63" s="35"/>
      <c r="Q63" s="35"/>
      <c r="R63" s="35"/>
      <c r="S63" s="58"/>
      <c r="T63" s="58"/>
    </row>
    <row r="64" spans="1:20" s="15" customFormat="1" ht="26.25" customHeight="1" x14ac:dyDescent="0.2">
      <c r="A64" s="43" t="s">
        <v>237</v>
      </c>
      <c r="B64" s="46" t="s">
        <v>62</v>
      </c>
      <c r="C64" s="44" t="s">
        <v>258</v>
      </c>
      <c r="D64" s="47">
        <v>13092</v>
      </c>
      <c r="E64" s="46" t="s">
        <v>392</v>
      </c>
      <c r="F64" s="35">
        <v>15000</v>
      </c>
      <c r="G64" s="35">
        <v>5000</v>
      </c>
      <c r="H64" s="35">
        <f>106900+15000</f>
        <v>121900</v>
      </c>
      <c r="I64" s="35">
        <f t="shared" si="0"/>
        <v>126900</v>
      </c>
      <c r="J64" s="36">
        <f t="shared" si="2"/>
        <v>24.38</v>
      </c>
      <c r="K64" s="48" t="s">
        <v>14</v>
      </c>
      <c r="L64" s="48" t="s">
        <v>14</v>
      </c>
      <c r="M64" s="38">
        <v>42734</v>
      </c>
      <c r="N64" s="48" t="s">
        <v>28</v>
      </c>
      <c r="O64" s="35">
        <v>15000</v>
      </c>
      <c r="P64" s="35"/>
      <c r="Q64" s="35"/>
      <c r="R64" s="35"/>
      <c r="S64" s="58"/>
      <c r="T64" s="58"/>
    </row>
    <row r="65" spans="1:20" s="15" customFormat="1" ht="26.25" customHeight="1" x14ac:dyDescent="0.2">
      <c r="A65" s="43" t="s">
        <v>238</v>
      </c>
      <c r="B65" s="46" t="s">
        <v>62</v>
      </c>
      <c r="C65" s="44" t="s">
        <v>259</v>
      </c>
      <c r="D65" s="54">
        <v>13100</v>
      </c>
      <c r="E65" s="46" t="s">
        <v>274</v>
      </c>
      <c r="F65" s="35">
        <v>24350</v>
      </c>
      <c r="G65" s="35">
        <v>24350</v>
      </c>
      <c r="H65" s="35">
        <v>0</v>
      </c>
      <c r="I65" s="35">
        <f t="shared" si="0"/>
        <v>24350</v>
      </c>
      <c r="J65" s="36">
        <f t="shared" si="2"/>
        <v>0</v>
      </c>
      <c r="K65" s="48" t="s">
        <v>14</v>
      </c>
      <c r="L65" s="48" t="s">
        <v>14</v>
      </c>
      <c r="M65" s="38">
        <v>42916</v>
      </c>
      <c r="N65" s="48"/>
      <c r="O65" s="35">
        <v>24350</v>
      </c>
      <c r="P65" s="35"/>
      <c r="Q65" s="35"/>
      <c r="R65" s="35"/>
      <c r="S65" s="58"/>
      <c r="T65" s="58"/>
    </row>
    <row r="66" spans="1:20" s="15" customFormat="1" ht="26.25" customHeight="1" x14ac:dyDescent="0.2">
      <c r="A66" s="43" t="s">
        <v>239</v>
      </c>
      <c r="B66" s="46" t="s">
        <v>62</v>
      </c>
      <c r="C66" s="44" t="s">
        <v>260</v>
      </c>
      <c r="D66" s="47">
        <v>13123</v>
      </c>
      <c r="E66" s="46" t="s">
        <v>275</v>
      </c>
      <c r="F66" s="35">
        <v>5000</v>
      </c>
      <c r="G66" s="35">
        <v>4800</v>
      </c>
      <c r="H66" s="35">
        <v>5000</v>
      </c>
      <c r="I66" s="35">
        <f t="shared" si="0"/>
        <v>9800</v>
      </c>
      <c r="J66" s="36">
        <f t="shared" si="2"/>
        <v>1.0416666666666667</v>
      </c>
      <c r="K66" s="48" t="s">
        <v>14</v>
      </c>
      <c r="L66" s="48" t="s">
        <v>14</v>
      </c>
      <c r="M66" s="38">
        <v>42916</v>
      </c>
      <c r="N66" s="48" t="s">
        <v>28</v>
      </c>
      <c r="O66" s="35">
        <v>5000</v>
      </c>
      <c r="P66" s="35"/>
      <c r="Q66" s="35"/>
      <c r="R66" s="35"/>
      <c r="S66" s="58"/>
      <c r="T66" s="58"/>
    </row>
    <row r="67" spans="1:20" s="15" customFormat="1" ht="26.25" customHeight="1" x14ac:dyDescent="0.2">
      <c r="A67" s="43" t="s">
        <v>240</v>
      </c>
      <c r="B67" s="46" t="s">
        <v>21</v>
      </c>
      <c r="C67" s="44" t="s">
        <v>261</v>
      </c>
      <c r="D67" s="47">
        <v>13143</v>
      </c>
      <c r="E67" s="46" t="s">
        <v>276</v>
      </c>
      <c r="F67" s="35">
        <f>11659*3</f>
        <v>34977</v>
      </c>
      <c r="G67" s="35">
        <f>11659*3</f>
        <v>34977</v>
      </c>
      <c r="H67" s="35">
        <v>0</v>
      </c>
      <c r="I67" s="35">
        <f>G67+H67</f>
        <v>34977</v>
      </c>
      <c r="J67" s="36">
        <f>IF(G67=0,100%,(I67-G67)/G67)</f>
        <v>0</v>
      </c>
      <c r="K67" s="48" t="s">
        <v>14</v>
      </c>
      <c r="L67" s="48" t="s">
        <v>14</v>
      </c>
      <c r="M67" s="38">
        <v>42916</v>
      </c>
      <c r="N67" s="48" t="s">
        <v>18</v>
      </c>
      <c r="O67" s="35">
        <v>11659</v>
      </c>
      <c r="P67" s="35">
        <v>11659</v>
      </c>
      <c r="Q67" s="35">
        <v>11659</v>
      </c>
      <c r="R67" s="35"/>
      <c r="S67" s="58"/>
      <c r="T67" s="58"/>
    </row>
    <row r="68" spans="1:20" s="15" customFormat="1" ht="26.25" customHeight="1" x14ac:dyDescent="0.2">
      <c r="A68" s="43" t="s">
        <v>241</v>
      </c>
      <c r="B68" s="46" t="s">
        <v>21</v>
      </c>
      <c r="C68" s="44" t="s">
        <v>261</v>
      </c>
      <c r="D68" s="47">
        <v>13145</v>
      </c>
      <c r="E68" s="46" t="s">
        <v>277</v>
      </c>
      <c r="F68" s="35">
        <f>10263*3</f>
        <v>30789</v>
      </c>
      <c r="G68" s="35">
        <f>10263*3</f>
        <v>30789</v>
      </c>
      <c r="H68" s="35">
        <v>0</v>
      </c>
      <c r="I68" s="35">
        <f>G68+H68</f>
        <v>30789</v>
      </c>
      <c r="J68" s="36">
        <f>IF(G68=0,100%,(I68-G68)/G68)</f>
        <v>0</v>
      </c>
      <c r="K68" s="48" t="s">
        <v>14</v>
      </c>
      <c r="L68" s="48" t="s">
        <v>14</v>
      </c>
      <c r="M68" s="38">
        <v>42916</v>
      </c>
      <c r="N68" s="48" t="s">
        <v>18</v>
      </c>
      <c r="O68" s="35">
        <v>10263</v>
      </c>
      <c r="P68" s="35">
        <v>10263</v>
      </c>
      <c r="Q68" s="35">
        <v>10263</v>
      </c>
      <c r="R68" s="35"/>
      <c r="S68" s="58"/>
      <c r="T68" s="58"/>
    </row>
    <row r="69" spans="1:20" s="15" customFormat="1" ht="26.25" customHeight="1" x14ac:dyDescent="0.2">
      <c r="A69" s="43" t="s">
        <v>242</v>
      </c>
      <c r="B69" s="46" t="s">
        <v>26</v>
      </c>
      <c r="C69" s="44" t="s">
        <v>52</v>
      </c>
      <c r="D69" s="47">
        <v>13160</v>
      </c>
      <c r="E69" s="46" t="s">
        <v>278</v>
      </c>
      <c r="F69" s="35">
        <v>45000</v>
      </c>
      <c r="G69" s="35">
        <v>45000</v>
      </c>
      <c r="H69" s="35">
        <v>0</v>
      </c>
      <c r="I69" s="35">
        <f>G69+H69</f>
        <v>45000</v>
      </c>
      <c r="J69" s="36">
        <f>IF(G69=0,100%,(I69-G69)/G69)</f>
        <v>0</v>
      </c>
      <c r="K69" s="48" t="s">
        <v>14</v>
      </c>
      <c r="L69" s="48" t="s">
        <v>14</v>
      </c>
      <c r="M69" s="38">
        <v>42916</v>
      </c>
      <c r="N69" s="48"/>
      <c r="O69" s="35">
        <v>45000</v>
      </c>
      <c r="P69" s="35"/>
      <c r="Q69" s="35"/>
      <c r="R69" s="35"/>
      <c r="S69" s="58"/>
      <c r="T69" s="58"/>
    </row>
    <row r="70" spans="1:20" s="15" customFormat="1" ht="26.25" customHeight="1" x14ac:dyDescent="0.2">
      <c r="A70" s="43" t="s">
        <v>243</v>
      </c>
      <c r="B70" s="46" t="s">
        <v>21</v>
      </c>
      <c r="C70" s="44" t="s">
        <v>262</v>
      </c>
      <c r="D70" s="47">
        <v>13185</v>
      </c>
      <c r="E70" s="46" t="s">
        <v>78</v>
      </c>
      <c r="F70" s="35">
        <f>45482*3</f>
        <v>136446</v>
      </c>
      <c r="G70" s="35">
        <f>45482*3</f>
        <v>136446</v>
      </c>
      <c r="H70" s="35">
        <v>0</v>
      </c>
      <c r="I70" s="35">
        <f>G70+H70</f>
        <v>136446</v>
      </c>
      <c r="J70" s="36">
        <f>IF(G70=0,100%,(I70-G70)/G70)</f>
        <v>0</v>
      </c>
      <c r="K70" s="48" t="s">
        <v>14</v>
      </c>
      <c r="L70" s="48" t="s">
        <v>14</v>
      </c>
      <c r="M70" s="38">
        <v>42916</v>
      </c>
      <c r="N70" s="48" t="s">
        <v>18</v>
      </c>
      <c r="O70" s="35">
        <v>45482</v>
      </c>
      <c r="P70" s="35">
        <v>45482</v>
      </c>
      <c r="Q70" s="35">
        <v>45482</v>
      </c>
      <c r="R70" s="35"/>
      <c r="S70" s="58"/>
      <c r="T70" s="58"/>
    </row>
    <row r="71" spans="1:20" s="15" customFormat="1" ht="26.25" customHeight="1" x14ac:dyDescent="0.2">
      <c r="A71" s="43" t="s">
        <v>244</v>
      </c>
      <c r="B71" s="46" t="s">
        <v>21</v>
      </c>
      <c r="C71" s="44" t="s">
        <v>263</v>
      </c>
      <c r="D71" s="47">
        <v>13195</v>
      </c>
      <c r="E71" s="46" t="s">
        <v>279</v>
      </c>
      <c r="F71" s="35">
        <f>20000*3</f>
        <v>60000</v>
      </c>
      <c r="G71" s="35">
        <f>20000*3</f>
        <v>60000</v>
      </c>
      <c r="H71" s="35">
        <v>0</v>
      </c>
      <c r="I71" s="35">
        <f>G71+H71</f>
        <v>60000</v>
      </c>
      <c r="J71" s="36">
        <f>IF(G71=0,100%,(I71-G71)/G71)</f>
        <v>0</v>
      </c>
      <c r="K71" s="48" t="s">
        <v>14</v>
      </c>
      <c r="L71" s="48" t="s">
        <v>14</v>
      </c>
      <c r="M71" s="38">
        <v>42916</v>
      </c>
      <c r="N71" s="48" t="s">
        <v>18</v>
      </c>
      <c r="O71" s="35">
        <v>20000</v>
      </c>
      <c r="P71" s="35">
        <v>20000</v>
      </c>
      <c r="Q71" s="35">
        <v>20000</v>
      </c>
      <c r="R71" s="35"/>
      <c r="S71" s="58"/>
      <c r="T71" s="58"/>
    </row>
    <row r="72" spans="1:20" s="15" customFormat="1" ht="26.25" customHeight="1" x14ac:dyDescent="0.2">
      <c r="A72" s="43" t="s">
        <v>245</v>
      </c>
      <c r="B72" s="46" t="s">
        <v>69</v>
      </c>
      <c r="C72" s="44" t="s">
        <v>264</v>
      </c>
      <c r="D72" s="47">
        <v>13196</v>
      </c>
      <c r="E72" s="46" t="s">
        <v>280</v>
      </c>
      <c r="F72" s="35">
        <v>25000</v>
      </c>
      <c r="G72" s="35">
        <v>25000</v>
      </c>
      <c r="H72" s="35">
        <v>0</v>
      </c>
      <c r="I72" s="35">
        <f t="shared" ref="I72:I81" si="3">G72+H72</f>
        <v>25000</v>
      </c>
      <c r="J72" s="36">
        <f t="shared" ref="J72:J81" si="4">IF(G72=0,100%,(I72-G72)/G72)</f>
        <v>0</v>
      </c>
      <c r="K72" s="48" t="s">
        <v>14</v>
      </c>
      <c r="L72" s="48" t="s">
        <v>14</v>
      </c>
      <c r="M72" s="38">
        <v>42978</v>
      </c>
      <c r="N72" s="48"/>
      <c r="O72" s="35">
        <v>25000</v>
      </c>
      <c r="P72" s="35"/>
      <c r="Q72" s="35"/>
      <c r="R72" s="35"/>
      <c r="S72" s="58"/>
      <c r="T72" s="58"/>
    </row>
    <row r="73" spans="1:20" s="15" customFormat="1" ht="26.25" customHeight="1" x14ac:dyDescent="0.2">
      <c r="A73" s="43" t="s">
        <v>246</v>
      </c>
      <c r="B73" s="46" t="s">
        <v>92</v>
      </c>
      <c r="C73" s="44" t="s">
        <v>29</v>
      </c>
      <c r="D73" s="47">
        <v>13205</v>
      </c>
      <c r="E73" s="46" t="s">
        <v>281</v>
      </c>
      <c r="F73" s="35">
        <v>7669</v>
      </c>
      <c r="G73" s="35">
        <v>7669</v>
      </c>
      <c r="H73" s="35">
        <v>0</v>
      </c>
      <c r="I73" s="35">
        <f t="shared" si="3"/>
        <v>7669</v>
      </c>
      <c r="J73" s="36">
        <f t="shared" si="4"/>
        <v>0</v>
      </c>
      <c r="K73" s="48" t="s">
        <v>14</v>
      </c>
      <c r="L73" s="48" t="s">
        <v>15</v>
      </c>
      <c r="M73" s="38">
        <v>42916</v>
      </c>
      <c r="N73" s="48"/>
      <c r="O73" s="35">
        <v>7669</v>
      </c>
      <c r="P73" s="35"/>
      <c r="Q73" s="35"/>
      <c r="R73" s="35"/>
      <c r="S73" s="58"/>
      <c r="T73" s="58"/>
    </row>
    <row r="74" spans="1:20" s="15" customFormat="1" ht="26.25" customHeight="1" x14ac:dyDescent="0.2">
      <c r="A74" s="43" t="s">
        <v>247</v>
      </c>
      <c r="B74" s="46" t="s">
        <v>30</v>
      </c>
      <c r="C74" s="44" t="s">
        <v>265</v>
      </c>
      <c r="D74" s="47">
        <v>13209</v>
      </c>
      <c r="E74" s="46" t="s">
        <v>49</v>
      </c>
      <c r="F74" s="35">
        <v>11172</v>
      </c>
      <c r="G74" s="35">
        <v>11172</v>
      </c>
      <c r="H74" s="35">
        <v>0</v>
      </c>
      <c r="I74" s="35">
        <f t="shared" si="3"/>
        <v>11172</v>
      </c>
      <c r="J74" s="36">
        <f t="shared" si="4"/>
        <v>0</v>
      </c>
      <c r="K74" s="48" t="s">
        <v>14</v>
      </c>
      <c r="L74" s="48" t="s">
        <v>14</v>
      </c>
      <c r="M74" s="38">
        <v>42538</v>
      </c>
      <c r="N74" s="48"/>
      <c r="O74" s="35">
        <v>11172</v>
      </c>
      <c r="P74" s="35"/>
      <c r="Q74" s="35"/>
      <c r="R74" s="35"/>
      <c r="S74" s="58"/>
      <c r="T74" s="58"/>
    </row>
    <row r="75" spans="1:20" s="15" customFormat="1" ht="26.25" customHeight="1" x14ac:dyDescent="0.2">
      <c r="A75" s="43" t="s">
        <v>248</v>
      </c>
      <c r="B75" s="46" t="s">
        <v>21</v>
      </c>
      <c r="C75" s="44" t="s">
        <v>266</v>
      </c>
      <c r="D75" s="47">
        <v>13222</v>
      </c>
      <c r="E75" s="46" t="s">
        <v>282</v>
      </c>
      <c r="F75" s="35">
        <v>7587</v>
      </c>
      <c r="G75" s="35">
        <v>7587</v>
      </c>
      <c r="H75" s="35">
        <v>0</v>
      </c>
      <c r="I75" s="35">
        <f t="shared" si="3"/>
        <v>7587</v>
      </c>
      <c r="J75" s="36">
        <f t="shared" si="4"/>
        <v>0</v>
      </c>
      <c r="K75" s="48" t="s">
        <v>14</v>
      </c>
      <c r="L75" s="48" t="s">
        <v>14</v>
      </c>
      <c r="M75" s="38">
        <v>42623</v>
      </c>
      <c r="N75" s="48"/>
      <c r="O75" s="35">
        <v>7587</v>
      </c>
      <c r="P75" s="35"/>
      <c r="Q75" s="35"/>
      <c r="R75" s="35"/>
      <c r="S75" s="58"/>
      <c r="T75" s="58"/>
    </row>
    <row r="76" spans="1:20" s="15" customFormat="1" ht="26.25" customHeight="1" x14ac:dyDescent="0.2">
      <c r="A76" s="43" t="s">
        <v>249</v>
      </c>
      <c r="B76" s="46" t="s">
        <v>21</v>
      </c>
      <c r="C76" s="44" t="s">
        <v>267</v>
      </c>
      <c r="D76" s="47">
        <v>13223</v>
      </c>
      <c r="E76" s="46" t="s">
        <v>283</v>
      </c>
      <c r="F76" s="35">
        <v>17578</v>
      </c>
      <c r="G76" s="35">
        <v>17578</v>
      </c>
      <c r="H76" s="35">
        <v>0</v>
      </c>
      <c r="I76" s="35">
        <f t="shared" si="3"/>
        <v>17578</v>
      </c>
      <c r="J76" s="36">
        <f t="shared" si="4"/>
        <v>0</v>
      </c>
      <c r="K76" s="48" t="s">
        <v>14</v>
      </c>
      <c r="L76" s="48" t="s">
        <v>14</v>
      </c>
      <c r="M76" s="38">
        <v>42623</v>
      </c>
      <c r="N76" s="48"/>
      <c r="O76" s="35">
        <v>17578</v>
      </c>
      <c r="P76" s="35"/>
      <c r="Q76" s="35"/>
      <c r="R76" s="35"/>
      <c r="S76" s="58"/>
      <c r="T76" s="58"/>
    </row>
    <row r="77" spans="1:20" s="15" customFormat="1" ht="26.25" customHeight="1" x14ac:dyDescent="0.2">
      <c r="A77" s="43" t="s">
        <v>250</v>
      </c>
      <c r="B77" s="46" t="s">
        <v>69</v>
      </c>
      <c r="C77" s="44" t="s">
        <v>51</v>
      </c>
      <c r="D77" s="47">
        <v>13231</v>
      </c>
      <c r="E77" s="46" t="s">
        <v>284</v>
      </c>
      <c r="F77" s="35">
        <f>15816+15816</f>
        <v>31632</v>
      </c>
      <c r="G77" s="35">
        <v>23500</v>
      </c>
      <c r="H77" s="35">
        <f>15816+15816</f>
        <v>31632</v>
      </c>
      <c r="I77" s="35">
        <f t="shared" si="3"/>
        <v>55132</v>
      </c>
      <c r="J77" s="36">
        <f t="shared" si="4"/>
        <v>1.3460425531914895</v>
      </c>
      <c r="K77" s="48" t="s">
        <v>14</v>
      </c>
      <c r="L77" s="48" t="s">
        <v>14</v>
      </c>
      <c r="M77" s="38">
        <v>42911</v>
      </c>
      <c r="N77" s="48" t="s">
        <v>28</v>
      </c>
      <c r="O77" s="35">
        <v>15816</v>
      </c>
      <c r="P77" s="35">
        <v>15816</v>
      </c>
      <c r="Q77" s="35"/>
      <c r="R77" s="35"/>
      <c r="S77" s="58"/>
      <c r="T77" s="58"/>
    </row>
    <row r="78" spans="1:20" s="15" customFormat="1" ht="26.25" customHeight="1" x14ac:dyDescent="0.2">
      <c r="A78" s="43" t="s">
        <v>251</v>
      </c>
      <c r="B78" s="46" t="s">
        <v>252</v>
      </c>
      <c r="C78" s="44" t="s">
        <v>268</v>
      </c>
      <c r="D78" s="47">
        <v>13274</v>
      </c>
      <c r="E78" s="46" t="s">
        <v>285</v>
      </c>
      <c r="F78" s="35">
        <v>31985</v>
      </c>
      <c r="G78" s="35">
        <v>31985</v>
      </c>
      <c r="H78" s="35">
        <v>0</v>
      </c>
      <c r="I78" s="35">
        <f t="shared" si="3"/>
        <v>31985</v>
      </c>
      <c r="J78" s="36">
        <f t="shared" si="4"/>
        <v>0</v>
      </c>
      <c r="K78" s="48" t="s">
        <v>14</v>
      </c>
      <c r="L78" s="48" t="s">
        <v>15</v>
      </c>
      <c r="M78" s="38">
        <v>42674</v>
      </c>
      <c r="N78" s="48"/>
      <c r="O78" s="35">
        <v>31985</v>
      </c>
      <c r="P78" s="35"/>
      <c r="Q78" s="35"/>
      <c r="R78" s="35"/>
      <c r="S78" s="58"/>
      <c r="T78" s="58"/>
    </row>
    <row r="79" spans="1:20" s="15" customFormat="1" ht="26.25" customHeight="1" x14ac:dyDescent="0.2">
      <c r="A79" s="43" t="s">
        <v>286</v>
      </c>
      <c r="B79" s="46" t="s">
        <v>26</v>
      </c>
      <c r="C79" s="44" t="s">
        <v>27</v>
      </c>
      <c r="D79" s="54" t="s">
        <v>294</v>
      </c>
      <c r="E79" s="46" t="s">
        <v>79</v>
      </c>
      <c r="F79" s="35">
        <v>99000</v>
      </c>
      <c r="G79" s="35">
        <v>5000</v>
      </c>
      <c r="H79" s="35">
        <f>50000+99000</f>
        <v>149000</v>
      </c>
      <c r="I79" s="35">
        <f t="shared" si="3"/>
        <v>154000</v>
      </c>
      <c r="J79" s="36">
        <f t="shared" si="4"/>
        <v>29.8</v>
      </c>
      <c r="K79" s="48" t="s">
        <v>14</v>
      </c>
      <c r="L79" s="48" t="s">
        <v>14</v>
      </c>
      <c r="M79" s="38">
        <v>42916</v>
      </c>
      <c r="N79" s="48" t="s">
        <v>28</v>
      </c>
      <c r="O79" s="35">
        <v>99000</v>
      </c>
      <c r="P79" s="35"/>
      <c r="Q79" s="35"/>
      <c r="R79" s="35"/>
      <c r="S79" s="58"/>
      <c r="T79" s="58"/>
    </row>
    <row r="80" spans="1:20" s="15" customFormat="1" ht="26.25" customHeight="1" x14ac:dyDescent="0.2">
      <c r="A80" s="43" t="s">
        <v>287</v>
      </c>
      <c r="B80" s="46" t="s">
        <v>19</v>
      </c>
      <c r="C80" s="44" t="s">
        <v>46</v>
      </c>
      <c r="D80" s="47">
        <v>13165</v>
      </c>
      <c r="E80" s="46" t="s">
        <v>295</v>
      </c>
      <c r="F80" s="35">
        <v>63900</v>
      </c>
      <c r="G80" s="35">
        <v>63900</v>
      </c>
      <c r="H80" s="35">
        <v>0</v>
      </c>
      <c r="I80" s="35">
        <f t="shared" si="3"/>
        <v>63900</v>
      </c>
      <c r="J80" s="36">
        <f t="shared" si="4"/>
        <v>0</v>
      </c>
      <c r="K80" s="48" t="s">
        <v>14</v>
      </c>
      <c r="L80" s="48" t="s">
        <v>14</v>
      </c>
      <c r="M80" s="38">
        <v>42575</v>
      </c>
      <c r="N80" s="48"/>
      <c r="O80" s="35">
        <v>63900</v>
      </c>
      <c r="P80" s="35"/>
      <c r="Q80" s="35"/>
      <c r="R80" s="35"/>
      <c r="S80" s="58"/>
      <c r="T80" s="58"/>
    </row>
    <row r="81" spans="1:20" s="15" customFormat="1" ht="26.25" customHeight="1" x14ac:dyDescent="0.2">
      <c r="A81" s="43" t="s">
        <v>288</v>
      </c>
      <c r="B81" s="46" t="s">
        <v>21</v>
      </c>
      <c r="C81" s="44" t="s">
        <v>292</v>
      </c>
      <c r="D81" s="47">
        <v>13194</v>
      </c>
      <c r="E81" s="46" t="s">
        <v>296</v>
      </c>
      <c r="F81" s="35">
        <f>90000*3</f>
        <v>270000</v>
      </c>
      <c r="G81" s="35">
        <f>90000*3</f>
        <v>270000</v>
      </c>
      <c r="H81" s="35">
        <v>0</v>
      </c>
      <c r="I81" s="35">
        <f t="shared" si="3"/>
        <v>270000</v>
      </c>
      <c r="J81" s="36">
        <f t="shared" si="4"/>
        <v>0</v>
      </c>
      <c r="K81" s="48" t="s">
        <v>14</v>
      </c>
      <c r="L81" s="48" t="s">
        <v>14</v>
      </c>
      <c r="M81" s="38">
        <v>42916</v>
      </c>
      <c r="N81" s="48" t="s">
        <v>18</v>
      </c>
      <c r="O81" s="35">
        <v>90000</v>
      </c>
      <c r="P81" s="35">
        <v>90000</v>
      </c>
      <c r="Q81" s="35">
        <v>90000</v>
      </c>
      <c r="R81" s="35"/>
      <c r="S81" s="58"/>
      <c r="T81" s="58"/>
    </row>
    <row r="82" spans="1:20" s="15" customFormat="1" ht="26.25" customHeight="1" x14ac:dyDescent="0.2">
      <c r="A82" s="43" t="s">
        <v>289</v>
      </c>
      <c r="B82" s="46" t="s">
        <v>19</v>
      </c>
      <c r="C82" s="44" t="s">
        <v>59</v>
      </c>
      <c r="D82" s="47">
        <v>13206</v>
      </c>
      <c r="E82" s="46" t="s">
        <v>297</v>
      </c>
      <c r="F82" s="35">
        <f>73431*3</f>
        <v>220293</v>
      </c>
      <c r="G82" s="35">
        <f>73431*3</f>
        <v>220293</v>
      </c>
      <c r="H82" s="35">
        <v>0</v>
      </c>
      <c r="I82" s="35">
        <f>G82+H82</f>
        <v>220293</v>
      </c>
      <c r="J82" s="36">
        <f>IF(G82=0,100%,(I82-G82)/G82)</f>
        <v>0</v>
      </c>
      <c r="K82" s="48" t="s">
        <v>14</v>
      </c>
      <c r="L82" s="48" t="s">
        <v>14</v>
      </c>
      <c r="M82" s="38">
        <v>42916</v>
      </c>
      <c r="N82" s="48" t="s">
        <v>18</v>
      </c>
      <c r="O82" s="35">
        <v>73431</v>
      </c>
      <c r="P82" s="35">
        <v>73431</v>
      </c>
      <c r="Q82" s="35">
        <v>73431</v>
      </c>
      <c r="R82" s="35"/>
      <c r="S82" s="58"/>
      <c r="T82" s="58"/>
    </row>
    <row r="83" spans="1:20" s="15" customFormat="1" ht="26.25" customHeight="1" x14ac:dyDescent="0.2">
      <c r="A83" s="43" t="s">
        <v>290</v>
      </c>
      <c r="B83" s="46" t="s">
        <v>21</v>
      </c>
      <c r="C83" s="44" t="s">
        <v>57</v>
      </c>
      <c r="D83" s="47">
        <v>13237</v>
      </c>
      <c r="E83" s="46" t="s">
        <v>299</v>
      </c>
      <c r="F83" s="35">
        <f>49900+49900</f>
        <v>99800</v>
      </c>
      <c r="G83" s="35">
        <v>49900</v>
      </c>
      <c r="H83" s="35">
        <f>49900*2</f>
        <v>99800</v>
      </c>
      <c r="I83" s="35">
        <f>G83+H83</f>
        <v>149700</v>
      </c>
      <c r="J83" s="36">
        <f>IF(G83=0,100%,(I83-G83)/G83)</f>
        <v>2</v>
      </c>
      <c r="K83" s="48" t="s">
        <v>14</v>
      </c>
      <c r="L83" s="48" t="s">
        <v>14</v>
      </c>
      <c r="M83" s="38">
        <v>42916</v>
      </c>
      <c r="N83" s="48" t="s">
        <v>28</v>
      </c>
      <c r="O83" s="35">
        <v>49900</v>
      </c>
      <c r="P83" s="35">
        <v>49900</v>
      </c>
      <c r="Q83" s="35"/>
      <c r="R83" s="35"/>
      <c r="S83" s="58"/>
      <c r="T83" s="58"/>
    </row>
    <row r="84" spans="1:20" s="15" customFormat="1" ht="26.25" customHeight="1" x14ac:dyDescent="0.2">
      <c r="A84" s="43" t="s">
        <v>291</v>
      </c>
      <c r="B84" s="46" t="s">
        <v>21</v>
      </c>
      <c r="C84" s="44" t="s">
        <v>293</v>
      </c>
      <c r="D84" s="47">
        <v>13224</v>
      </c>
      <c r="E84" s="46" t="s">
        <v>298</v>
      </c>
      <c r="F84" s="35">
        <v>65000</v>
      </c>
      <c r="G84" s="35">
        <v>65000</v>
      </c>
      <c r="H84" s="35">
        <v>0</v>
      </c>
      <c r="I84" s="35">
        <f>G84+H84</f>
        <v>65000</v>
      </c>
      <c r="J84" s="36">
        <f>IF(G84=0,100%,(I84-G84)/G84)</f>
        <v>0</v>
      </c>
      <c r="K84" s="48" t="s">
        <v>14</v>
      </c>
      <c r="L84" s="48" t="s">
        <v>14</v>
      </c>
      <c r="M84" s="38">
        <v>42916</v>
      </c>
      <c r="N84" s="48"/>
      <c r="O84" s="35">
        <v>65000</v>
      </c>
      <c r="P84" s="35"/>
      <c r="Q84" s="35"/>
      <c r="R84" s="35"/>
      <c r="S84" s="58"/>
      <c r="T84" s="58"/>
    </row>
    <row r="85" spans="1:20" s="15" customFormat="1" ht="26.25" customHeight="1" x14ac:dyDescent="0.2">
      <c r="A85" s="43" t="s">
        <v>300</v>
      </c>
      <c r="B85" s="46" t="s">
        <v>62</v>
      </c>
      <c r="C85" s="44" t="s">
        <v>72</v>
      </c>
      <c r="D85" s="54" t="s">
        <v>321</v>
      </c>
      <c r="E85" s="46" t="s">
        <v>73</v>
      </c>
      <c r="F85" s="35">
        <v>391</v>
      </c>
      <c r="G85" s="35">
        <v>14324</v>
      </c>
      <c r="H85" s="35">
        <v>391</v>
      </c>
      <c r="I85" s="35">
        <f>G85+H85</f>
        <v>14715</v>
      </c>
      <c r="J85" s="36">
        <f>IF(G85=0,100%,(I85-G85)/G85)</f>
        <v>2.7296844456855627E-2</v>
      </c>
      <c r="K85" s="48" t="s">
        <v>14</v>
      </c>
      <c r="L85" s="48" t="s">
        <v>14</v>
      </c>
      <c r="M85" s="38">
        <v>42483</v>
      </c>
      <c r="N85" s="48" t="s">
        <v>28</v>
      </c>
      <c r="O85" s="35">
        <v>391</v>
      </c>
      <c r="P85" s="35"/>
      <c r="Q85" s="35"/>
      <c r="R85" s="35"/>
      <c r="S85" s="58"/>
      <c r="T85" s="58"/>
    </row>
    <row r="86" spans="1:20" s="15" customFormat="1" ht="26.25" customHeight="1" x14ac:dyDescent="0.2">
      <c r="A86" s="43" t="s">
        <v>301</v>
      </c>
      <c r="B86" s="46" t="s">
        <v>19</v>
      </c>
      <c r="C86" s="44" t="s">
        <v>313</v>
      </c>
      <c r="D86" s="54">
        <v>12948</v>
      </c>
      <c r="E86" s="46" t="s">
        <v>324</v>
      </c>
      <c r="F86" s="35">
        <v>8500</v>
      </c>
      <c r="G86" s="35">
        <v>8500</v>
      </c>
      <c r="H86" s="35">
        <v>0</v>
      </c>
      <c r="I86" s="35">
        <f>G86+H86</f>
        <v>8500</v>
      </c>
      <c r="J86" s="36">
        <f>IF(G86=0,100%,(I86-G86)/G86)</f>
        <v>0</v>
      </c>
      <c r="K86" s="48" t="s">
        <v>14</v>
      </c>
      <c r="L86" s="48" t="s">
        <v>14</v>
      </c>
      <c r="M86" s="38">
        <v>42916</v>
      </c>
      <c r="N86" s="48"/>
      <c r="O86" s="35">
        <v>8500</v>
      </c>
      <c r="P86" s="35"/>
      <c r="Q86" s="35"/>
      <c r="R86" s="35"/>
      <c r="S86" s="58"/>
      <c r="T86" s="58"/>
    </row>
    <row r="87" spans="1:20" s="15" customFormat="1" ht="26.25" customHeight="1" x14ac:dyDescent="0.2">
      <c r="A87" s="43" t="s">
        <v>302</v>
      </c>
      <c r="B87" s="46" t="s">
        <v>21</v>
      </c>
      <c r="C87" s="44" t="s">
        <v>314</v>
      </c>
      <c r="D87" s="47">
        <v>13168</v>
      </c>
      <c r="E87" s="46" t="s">
        <v>325</v>
      </c>
      <c r="F87" s="35">
        <v>26994</v>
      </c>
      <c r="G87" s="35">
        <v>26994</v>
      </c>
      <c r="H87" s="35">
        <v>0</v>
      </c>
      <c r="I87" s="35">
        <f t="shared" ref="I87:I149" si="5">G87+H87</f>
        <v>26994</v>
      </c>
      <c r="J87" s="36">
        <f t="shared" ref="J87:J149" si="6">IF(G87=0,100%,(I87-G87)/G87)</f>
        <v>0</v>
      </c>
      <c r="K87" s="48" t="s">
        <v>15</v>
      </c>
      <c r="L87" s="48" t="s">
        <v>15</v>
      </c>
      <c r="M87" s="38">
        <v>43708</v>
      </c>
      <c r="N87" s="48"/>
      <c r="O87" s="35">
        <v>26994</v>
      </c>
      <c r="P87" s="35"/>
      <c r="Q87" s="35"/>
      <c r="R87" s="35"/>
      <c r="S87" s="58"/>
      <c r="T87" s="58"/>
    </row>
    <row r="88" spans="1:20" s="15" customFormat="1" ht="26.25" customHeight="1" x14ac:dyDescent="0.2">
      <c r="A88" s="43" t="s">
        <v>303</v>
      </c>
      <c r="B88" s="46" t="s">
        <v>22</v>
      </c>
      <c r="C88" s="44" t="s">
        <v>42</v>
      </c>
      <c r="D88" s="54" t="s">
        <v>322</v>
      </c>
      <c r="E88" s="46" t="s">
        <v>326</v>
      </c>
      <c r="F88" s="35">
        <f>6480*2</f>
        <v>12960</v>
      </c>
      <c r="G88" s="35">
        <v>10080</v>
      </c>
      <c r="H88" s="35">
        <f>6480*2</f>
        <v>12960</v>
      </c>
      <c r="I88" s="35">
        <f t="shared" si="5"/>
        <v>23040</v>
      </c>
      <c r="J88" s="36">
        <f t="shared" si="6"/>
        <v>1.2857142857142858</v>
      </c>
      <c r="K88" s="48" t="s">
        <v>14</v>
      </c>
      <c r="L88" s="48" t="s">
        <v>14</v>
      </c>
      <c r="M88" s="38">
        <v>42916</v>
      </c>
      <c r="N88" s="48" t="s">
        <v>28</v>
      </c>
      <c r="O88" s="35">
        <v>6480</v>
      </c>
      <c r="P88" s="35">
        <v>6480</v>
      </c>
      <c r="Q88" s="35"/>
      <c r="R88" s="35"/>
      <c r="S88" s="58"/>
      <c r="T88" s="58"/>
    </row>
    <row r="89" spans="1:20" s="15" customFormat="1" ht="26.25" customHeight="1" x14ac:dyDescent="0.2">
      <c r="A89" s="43" t="s">
        <v>304</v>
      </c>
      <c r="B89" s="46" t="s">
        <v>19</v>
      </c>
      <c r="C89" s="44" t="s">
        <v>81</v>
      </c>
      <c r="D89" s="47">
        <v>13213</v>
      </c>
      <c r="E89" s="46" t="s">
        <v>327</v>
      </c>
      <c r="F89" s="35">
        <v>12792</v>
      </c>
      <c r="G89" s="35">
        <v>12792</v>
      </c>
      <c r="H89" s="35">
        <v>0</v>
      </c>
      <c r="I89" s="35">
        <f t="shared" si="5"/>
        <v>12792</v>
      </c>
      <c r="J89" s="36">
        <f t="shared" si="6"/>
        <v>0</v>
      </c>
      <c r="K89" s="48" t="s">
        <v>14</v>
      </c>
      <c r="L89" s="48" t="s">
        <v>14</v>
      </c>
      <c r="M89" s="38">
        <v>42977</v>
      </c>
      <c r="N89" s="48"/>
      <c r="O89" s="35">
        <v>12792</v>
      </c>
      <c r="P89" s="35"/>
      <c r="Q89" s="35"/>
      <c r="R89" s="35"/>
      <c r="S89" s="58"/>
      <c r="T89" s="58"/>
    </row>
    <row r="90" spans="1:20" s="15" customFormat="1" ht="26.25" customHeight="1" x14ac:dyDescent="0.2">
      <c r="A90" s="43" t="s">
        <v>305</v>
      </c>
      <c r="B90" s="46" t="s">
        <v>17</v>
      </c>
      <c r="C90" s="44" t="s">
        <v>315</v>
      </c>
      <c r="D90" s="47">
        <v>13241</v>
      </c>
      <c r="E90" s="46" t="s">
        <v>328</v>
      </c>
      <c r="F90" s="35">
        <f>15000*3</f>
        <v>45000</v>
      </c>
      <c r="G90" s="35">
        <f>15000*3</f>
        <v>45000</v>
      </c>
      <c r="H90" s="35">
        <v>0</v>
      </c>
      <c r="I90" s="35">
        <f t="shared" si="5"/>
        <v>45000</v>
      </c>
      <c r="J90" s="36">
        <f t="shared" si="6"/>
        <v>0</v>
      </c>
      <c r="K90" s="48" t="s">
        <v>14</v>
      </c>
      <c r="L90" s="48" t="s">
        <v>15</v>
      </c>
      <c r="M90" s="38">
        <v>42916</v>
      </c>
      <c r="N90" s="48" t="s">
        <v>18</v>
      </c>
      <c r="O90" s="35">
        <v>15000</v>
      </c>
      <c r="P90" s="35">
        <v>15000</v>
      </c>
      <c r="Q90" s="35">
        <v>15000</v>
      </c>
      <c r="R90" s="35"/>
      <c r="S90" s="58"/>
      <c r="T90" s="58"/>
    </row>
    <row r="91" spans="1:20" s="15" customFormat="1" ht="26.25" customHeight="1" x14ac:dyDescent="0.2">
      <c r="A91" s="43" t="s">
        <v>306</v>
      </c>
      <c r="B91" s="46" t="s">
        <v>62</v>
      </c>
      <c r="C91" s="44" t="s">
        <v>316</v>
      </c>
      <c r="D91" s="47">
        <v>13257</v>
      </c>
      <c r="E91" s="46" t="s">
        <v>329</v>
      </c>
      <c r="F91" s="35">
        <v>12850</v>
      </c>
      <c r="G91" s="35">
        <v>12850</v>
      </c>
      <c r="H91" s="35">
        <v>0</v>
      </c>
      <c r="I91" s="35">
        <f t="shared" si="5"/>
        <v>12850</v>
      </c>
      <c r="J91" s="36">
        <f t="shared" si="6"/>
        <v>0</v>
      </c>
      <c r="K91" s="48" t="s">
        <v>14</v>
      </c>
      <c r="L91" s="48" t="s">
        <v>14</v>
      </c>
      <c r="M91" s="38">
        <v>42916</v>
      </c>
      <c r="N91" s="48"/>
      <c r="O91" s="35">
        <v>12850</v>
      </c>
      <c r="P91" s="35"/>
      <c r="Q91" s="35"/>
      <c r="R91" s="35"/>
      <c r="S91" s="58"/>
      <c r="T91" s="58"/>
    </row>
    <row r="92" spans="1:20" s="15" customFormat="1" ht="26.25" customHeight="1" x14ac:dyDescent="0.2">
      <c r="A92" s="43" t="s">
        <v>307</v>
      </c>
      <c r="B92" s="46" t="s">
        <v>20</v>
      </c>
      <c r="C92" s="44" t="s">
        <v>45</v>
      </c>
      <c r="D92" s="54" t="s">
        <v>323</v>
      </c>
      <c r="E92" s="46" t="s">
        <v>64</v>
      </c>
      <c r="F92" s="35">
        <f>20000*2</f>
        <v>40000</v>
      </c>
      <c r="G92" s="35">
        <v>10000</v>
      </c>
      <c r="H92" s="35">
        <f>20000*2</f>
        <v>40000</v>
      </c>
      <c r="I92" s="35">
        <f t="shared" si="5"/>
        <v>50000</v>
      </c>
      <c r="J92" s="36">
        <f t="shared" si="6"/>
        <v>4</v>
      </c>
      <c r="K92" s="48" t="s">
        <v>14</v>
      </c>
      <c r="L92" s="48" t="s">
        <v>14</v>
      </c>
      <c r="M92" s="38">
        <v>42977</v>
      </c>
      <c r="N92" s="48" t="s">
        <v>28</v>
      </c>
      <c r="O92" s="35">
        <v>20000</v>
      </c>
      <c r="P92" s="35">
        <v>20000</v>
      </c>
      <c r="Q92" s="35"/>
      <c r="R92" s="35"/>
      <c r="S92" s="58"/>
      <c r="T92" s="58"/>
    </row>
    <row r="93" spans="1:20" s="15" customFormat="1" ht="26.25" customHeight="1" x14ac:dyDescent="0.2">
      <c r="A93" s="43" t="s">
        <v>308</v>
      </c>
      <c r="B93" s="46" t="s">
        <v>19</v>
      </c>
      <c r="C93" s="44" t="s">
        <v>83</v>
      </c>
      <c r="D93" s="47">
        <v>13280</v>
      </c>
      <c r="E93" s="46" t="s">
        <v>330</v>
      </c>
      <c r="F93" s="35">
        <v>20000</v>
      </c>
      <c r="G93" s="35">
        <v>20000</v>
      </c>
      <c r="H93" s="35">
        <v>0</v>
      </c>
      <c r="I93" s="35">
        <f t="shared" si="5"/>
        <v>20000</v>
      </c>
      <c r="J93" s="36">
        <f t="shared" si="6"/>
        <v>0</v>
      </c>
      <c r="K93" s="48" t="s">
        <v>14</v>
      </c>
      <c r="L93" s="48" t="s">
        <v>14</v>
      </c>
      <c r="M93" s="38">
        <v>42659</v>
      </c>
      <c r="N93" s="48"/>
      <c r="O93" s="35">
        <v>20000</v>
      </c>
      <c r="P93" s="35"/>
      <c r="Q93" s="35"/>
      <c r="R93" s="35"/>
      <c r="S93" s="58"/>
      <c r="T93" s="58"/>
    </row>
    <row r="94" spans="1:20" s="15" customFormat="1" ht="26.25" customHeight="1" x14ac:dyDescent="0.2">
      <c r="A94" s="43" t="s">
        <v>309</v>
      </c>
      <c r="B94" s="46" t="s">
        <v>19</v>
      </c>
      <c r="C94" s="44" t="s">
        <v>317</v>
      </c>
      <c r="D94" s="47">
        <v>13283</v>
      </c>
      <c r="E94" s="46" t="s">
        <v>75</v>
      </c>
      <c r="F94" s="35">
        <v>9560</v>
      </c>
      <c r="G94" s="40">
        <v>9560</v>
      </c>
      <c r="H94" s="35">
        <v>0</v>
      </c>
      <c r="I94" s="35">
        <f t="shared" si="5"/>
        <v>9560</v>
      </c>
      <c r="J94" s="36">
        <f t="shared" si="6"/>
        <v>0</v>
      </c>
      <c r="K94" s="48" t="s">
        <v>14</v>
      </c>
      <c r="L94" s="48" t="s">
        <v>14</v>
      </c>
      <c r="M94" s="38">
        <v>42916</v>
      </c>
      <c r="N94" s="48"/>
      <c r="O94" s="35">
        <v>9560</v>
      </c>
      <c r="P94" s="35"/>
      <c r="Q94" s="35"/>
      <c r="R94" s="35"/>
      <c r="S94" s="58"/>
      <c r="T94" s="58"/>
    </row>
    <row r="95" spans="1:20" s="15" customFormat="1" ht="26.25" customHeight="1" x14ac:dyDescent="0.2">
      <c r="A95" s="43" t="s">
        <v>310</v>
      </c>
      <c r="B95" s="46" t="s">
        <v>69</v>
      </c>
      <c r="C95" s="44" t="s">
        <v>318</v>
      </c>
      <c r="D95" s="54">
        <v>13295</v>
      </c>
      <c r="E95" s="46" t="s">
        <v>331</v>
      </c>
      <c r="F95" s="35">
        <v>23572</v>
      </c>
      <c r="G95" s="40">
        <v>23572</v>
      </c>
      <c r="H95" s="35">
        <v>0</v>
      </c>
      <c r="I95" s="35">
        <f t="shared" si="5"/>
        <v>23572</v>
      </c>
      <c r="J95" s="36">
        <f t="shared" si="6"/>
        <v>0</v>
      </c>
      <c r="K95" s="48" t="s">
        <v>14</v>
      </c>
      <c r="L95" s="48" t="s">
        <v>14</v>
      </c>
      <c r="M95" s="52">
        <v>42992</v>
      </c>
      <c r="N95" s="48"/>
      <c r="O95" s="35">
        <v>23572</v>
      </c>
      <c r="P95" s="35"/>
      <c r="Q95" s="35"/>
      <c r="R95" s="35"/>
      <c r="S95" s="58"/>
      <c r="T95" s="58"/>
    </row>
    <row r="96" spans="1:20" s="15" customFormat="1" ht="26.25" customHeight="1" x14ac:dyDescent="0.2">
      <c r="A96" s="43" t="s">
        <v>311</v>
      </c>
      <c r="B96" s="46" t="s">
        <v>166</v>
      </c>
      <c r="C96" s="44" t="s">
        <v>319</v>
      </c>
      <c r="D96" s="47">
        <v>13296</v>
      </c>
      <c r="E96" s="46" t="s">
        <v>332</v>
      </c>
      <c r="F96" s="35">
        <v>40000</v>
      </c>
      <c r="G96" s="40">
        <v>40000</v>
      </c>
      <c r="H96" s="35">
        <v>0</v>
      </c>
      <c r="I96" s="35">
        <f t="shared" si="5"/>
        <v>40000</v>
      </c>
      <c r="J96" s="36">
        <f t="shared" si="6"/>
        <v>0</v>
      </c>
      <c r="K96" s="48" t="s">
        <v>14</v>
      </c>
      <c r="L96" s="48" t="s">
        <v>15</v>
      </c>
      <c r="M96" s="38">
        <v>42735</v>
      </c>
      <c r="N96" s="48"/>
      <c r="O96" s="35">
        <v>40000</v>
      </c>
      <c r="P96" s="35"/>
      <c r="Q96" s="35"/>
      <c r="R96" s="35"/>
      <c r="S96" s="58"/>
      <c r="T96" s="58"/>
    </row>
    <row r="97" spans="1:20" s="15" customFormat="1" ht="26.25" customHeight="1" x14ac:dyDescent="0.2">
      <c r="A97" s="43" t="s">
        <v>312</v>
      </c>
      <c r="B97" s="46" t="s">
        <v>17</v>
      </c>
      <c r="C97" s="44" t="s">
        <v>320</v>
      </c>
      <c r="D97" s="54">
        <v>13351</v>
      </c>
      <c r="E97" s="46" t="s">
        <v>333</v>
      </c>
      <c r="F97" s="35">
        <f>15500*2</f>
        <v>31000</v>
      </c>
      <c r="G97" s="35">
        <f>15500*2</f>
        <v>31000</v>
      </c>
      <c r="H97" s="35">
        <v>0</v>
      </c>
      <c r="I97" s="35">
        <f t="shared" si="5"/>
        <v>31000</v>
      </c>
      <c r="J97" s="36">
        <f t="shared" si="6"/>
        <v>0</v>
      </c>
      <c r="K97" s="48" t="s">
        <v>14</v>
      </c>
      <c r="L97" s="48" t="s">
        <v>14</v>
      </c>
      <c r="M97" s="38">
        <v>42916</v>
      </c>
      <c r="N97" s="48" t="s">
        <v>18</v>
      </c>
      <c r="O97" s="35">
        <v>15500</v>
      </c>
      <c r="P97" s="35">
        <v>15500</v>
      </c>
      <c r="Q97" s="35"/>
      <c r="R97" s="35"/>
      <c r="S97" s="58"/>
      <c r="T97" s="58"/>
    </row>
    <row r="98" spans="1:20" s="15" customFormat="1" ht="26.25" customHeight="1" x14ac:dyDescent="0.2">
      <c r="A98" s="43" t="s">
        <v>334</v>
      </c>
      <c r="B98" s="46" t="s">
        <v>21</v>
      </c>
      <c r="C98" s="44" t="s">
        <v>341</v>
      </c>
      <c r="D98" s="54">
        <v>13247</v>
      </c>
      <c r="E98" s="46" t="s">
        <v>346</v>
      </c>
      <c r="F98" s="35">
        <f>95000*3</f>
        <v>285000</v>
      </c>
      <c r="G98" s="35">
        <f>95000*3</f>
        <v>285000</v>
      </c>
      <c r="H98" s="35">
        <v>0</v>
      </c>
      <c r="I98" s="35">
        <f t="shared" si="5"/>
        <v>285000</v>
      </c>
      <c r="J98" s="36">
        <f t="shared" si="6"/>
        <v>0</v>
      </c>
      <c r="K98" s="48" t="s">
        <v>14</v>
      </c>
      <c r="L98" s="48" t="s">
        <v>14</v>
      </c>
      <c r="M98" s="38">
        <v>42916</v>
      </c>
      <c r="N98" s="48" t="s">
        <v>18</v>
      </c>
      <c r="O98" s="35">
        <v>95000</v>
      </c>
      <c r="P98" s="35">
        <v>95000</v>
      </c>
      <c r="Q98" s="35">
        <v>95000</v>
      </c>
      <c r="R98" s="35"/>
      <c r="S98" s="58"/>
      <c r="T98" s="58"/>
    </row>
    <row r="99" spans="1:20" s="15" customFormat="1" ht="26.25" customHeight="1" x14ac:dyDescent="0.2">
      <c r="A99" s="43" t="s">
        <v>335</v>
      </c>
      <c r="B99" s="46" t="s">
        <v>21</v>
      </c>
      <c r="C99" s="44" t="s">
        <v>342</v>
      </c>
      <c r="D99" s="47">
        <v>13248</v>
      </c>
      <c r="E99" s="46" t="s">
        <v>347</v>
      </c>
      <c r="F99" s="35">
        <f>98000*3</f>
        <v>294000</v>
      </c>
      <c r="G99" s="35">
        <f>98000*3</f>
        <v>294000</v>
      </c>
      <c r="H99" s="35">
        <v>0</v>
      </c>
      <c r="I99" s="35">
        <f t="shared" si="5"/>
        <v>294000</v>
      </c>
      <c r="J99" s="36">
        <f t="shared" si="6"/>
        <v>0</v>
      </c>
      <c r="K99" s="48" t="s">
        <v>14</v>
      </c>
      <c r="L99" s="48" t="s">
        <v>14</v>
      </c>
      <c r="M99" s="38">
        <v>42916</v>
      </c>
      <c r="N99" s="48" t="s">
        <v>18</v>
      </c>
      <c r="O99" s="35">
        <v>98000</v>
      </c>
      <c r="P99" s="35">
        <v>98000</v>
      </c>
      <c r="Q99" s="35">
        <v>98000</v>
      </c>
      <c r="R99" s="35"/>
      <c r="S99" s="58"/>
      <c r="T99" s="58"/>
    </row>
    <row r="100" spans="1:20" s="15" customFormat="1" ht="26.25" customHeight="1" x14ac:dyDescent="0.2">
      <c r="A100" s="43" t="s">
        <v>336</v>
      </c>
      <c r="B100" s="46" t="s">
        <v>21</v>
      </c>
      <c r="C100" s="44" t="s">
        <v>343</v>
      </c>
      <c r="D100" s="47">
        <v>13249</v>
      </c>
      <c r="E100" s="46" t="s">
        <v>347</v>
      </c>
      <c r="F100" s="35">
        <f>98000*3</f>
        <v>294000</v>
      </c>
      <c r="G100" s="35">
        <f>98000*3</f>
        <v>294000</v>
      </c>
      <c r="H100" s="35">
        <v>0</v>
      </c>
      <c r="I100" s="35">
        <f t="shared" si="5"/>
        <v>294000</v>
      </c>
      <c r="J100" s="36">
        <f t="shared" si="6"/>
        <v>0</v>
      </c>
      <c r="K100" s="48" t="s">
        <v>14</v>
      </c>
      <c r="L100" s="48" t="s">
        <v>14</v>
      </c>
      <c r="M100" s="38">
        <v>42916</v>
      </c>
      <c r="N100" s="48" t="s">
        <v>18</v>
      </c>
      <c r="O100" s="35">
        <v>98000</v>
      </c>
      <c r="P100" s="35">
        <v>98000</v>
      </c>
      <c r="Q100" s="35">
        <v>98000</v>
      </c>
      <c r="R100" s="35"/>
      <c r="S100" s="58"/>
      <c r="T100" s="58"/>
    </row>
    <row r="101" spans="1:20" s="15" customFormat="1" ht="26.25" customHeight="1" x14ac:dyDescent="0.2">
      <c r="A101" s="43" t="s">
        <v>337</v>
      </c>
      <c r="B101" s="46" t="s">
        <v>166</v>
      </c>
      <c r="C101" s="44" t="s">
        <v>85</v>
      </c>
      <c r="D101" s="47">
        <v>13252</v>
      </c>
      <c r="E101" s="46" t="s">
        <v>348</v>
      </c>
      <c r="F101" s="35">
        <v>99500</v>
      </c>
      <c r="G101" s="35">
        <v>99500</v>
      </c>
      <c r="H101" s="35">
        <v>0</v>
      </c>
      <c r="I101" s="35">
        <f t="shared" si="5"/>
        <v>99500</v>
      </c>
      <c r="J101" s="36">
        <f t="shared" si="6"/>
        <v>0</v>
      </c>
      <c r="K101" s="48" t="s">
        <v>14</v>
      </c>
      <c r="L101" s="48" t="s">
        <v>15</v>
      </c>
      <c r="M101" s="38">
        <v>42825</v>
      </c>
      <c r="N101" s="48"/>
      <c r="O101" s="35">
        <v>99500</v>
      </c>
      <c r="P101" s="35"/>
      <c r="Q101" s="35"/>
      <c r="R101" s="35"/>
      <c r="S101" s="58"/>
      <c r="T101" s="58"/>
    </row>
    <row r="102" spans="1:20" s="15" customFormat="1" ht="26.25" customHeight="1" x14ac:dyDescent="0.2">
      <c r="A102" s="43" t="s">
        <v>338</v>
      </c>
      <c r="B102" s="46" t="s">
        <v>21</v>
      </c>
      <c r="C102" s="44" t="s">
        <v>56</v>
      </c>
      <c r="D102" s="47">
        <v>13258</v>
      </c>
      <c r="E102" s="46" t="s">
        <v>54</v>
      </c>
      <c r="F102" s="35">
        <f>60000*2</f>
        <v>120000</v>
      </c>
      <c r="G102" s="35">
        <f>60000*2</f>
        <v>120000</v>
      </c>
      <c r="H102" s="35">
        <v>0</v>
      </c>
      <c r="I102" s="35">
        <f t="shared" si="5"/>
        <v>120000</v>
      </c>
      <c r="J102" s="36">
        <f t="shared" si="6"/>
        <v>0</v>
      </c>
      <c r="K102" s="48" t="s">
        <v>14</v>
      </c>
      <c r="L102" s="48" t="s">
        <v>14</v>
      </c>
      <c r="M102" s="38">
        <v>42916</v>
      </c>
      <c r="N102" s="48" t="s">
        <v>18</v>
      </c>
      <c r="O102" s="35">
        <v>60000</v>
      </c>
      <c r="P102" s="35">
        <v>60000</v>
      </c>
      <c r="Q102" s="35"/>
      <c r="R102" s="35"/>
      <c r="S102" s="58"/>
      <c r="T102" s="58"/>
    </row>
    <row r="103" spans="1:20" s="15" customFormat="1" ht="18" customHeight="1" x14ac:dyDescent="0.2">
      <c r="A103" s="43" t="s">
        <v>339</v>
      </c>
      <c r="B103" s="46" t="s">
        <v>21</v>
      </c>
      <c r="C103" s="44" t="s">
        <v>344</v>
      </c>
      <c r="D103" s="47">
        <v>13271</v>
      </c>
      <c r="E103" s="46" t="s">
        <v>347</v>
      </c>
      <c r="F103" s="35">
        <f>98000*3</f>
        <v>294000</v>
      </c>
      <c r="G103" s="35">
        <f>98000*3</f>
        <v>294000</v>
      </c>
      <c r="H103" s="35">
        <v>0</v>
      </c>
      <c r="I103" s="35">
        <f t="shared" si="5"/>
        <v>294000</v>
      </c>
      <c r="J103" s="36">
        <f t="shared" si="6"/>
        <v>0</v>
      </c>
      <c r="K103" s="48" t="s">
        <v>14</v>
      </c>
      <c r="L103" s="48" t="s">
        <v>14</v>
      </c>
      <c r="M103" s="38">
        <v>42916</v>
      </c>
      <c r="N103" s="48" t="s">
        <v>18</v>
      </c>
      <c r="O103" s="35">
        <v>98000</v>
      </c>
      <c r="P103" s="35">
        <v>98000</v>
      </c>
      <c r="Q103" s="35">
        <v>98000</v>
      </c>
      <c r="R103" s="35"/>
      <c r="S103" s="58"/>
      <c r="T103" s="58"/>
    </row>
    <row r="104" spans="1:20" s="15" customFormat="1" ht="26.25" customHeight="1" x14ac:dyDescent="0.2">
      <c r="A104" s="43" t="s">
        <v>340</v>
      </c>
      <c r="B104" s="46" t="s">
        <v>21</v>
      </c>
      <c r="C104" s="44" t="s">
        <v>345</v>
      </c>
      <c r="D104" s="54">
        <v>13458</v>
      </c>
      <c r="E104" s="46" t="s">
        <v>349</v>
      </c>
      <c r="F104" s="35">
        <v>91404</v>
      </c>
      <c r="G104" s="40">
        <v>91404</v>
      </c>
      <c r="H104" s="35">
        <v>0</v>
      </c>
      <c r="I104" s="35">
        <f t="shared" si="5"/>
        <v>91404</v>
      </c>
      <c r="J104" s="36">
        <f t="shared" si="6"/>
        <v>0</v>
      </c>
      <c r="K104" s="48" t="s">
        <v>14</v>
      </c>
      <c r="L104" s="48" t="s">
        <v>15</v>
      </c>
      <c r="M104" s="38">
        <v>42674</v>
      </c>
      <c r="N104" s="48"/>
      <c r="O104" s="35">
        <v>91404</v>
      </c>
      <c r="P104" s="35"/>
      <c r="Q104" s="35"/>
      <c r="R104" s="35"/>
      <c r="S104" s="58"/>
      <c r="T104" s="58"/>
    </row>
    <row r="105" spans="1:20" s="15" customFormat="1" ht="26.25" customHeight="1" x14ac:dyDescent="0.2">
      <c r="A105" s="43" t="s">
        <v>350</v>
      </c>
      <c r="B105" s="46" t="s">
        <v>19</v>
      </c>
      <c r="C105" s="44" t="s">
        <v>34</v>
      </c>
      <c r="D105" s="47">
        <v>13322</v>
      </c>
      <c r="E105" s="46" t="s">
        <v>359</v>
      </c>
      <c r="F105" s="35">
        <v>60000</v>
      </c>
      <c r="G105" s="35">
        <v>60000</v>
      </c>
      <c r="H105" s="35">
        <v>0</v>
      </c>
      <c r="I105" s="35">
        <f t="shared" si="5"/>
        <v>60000</v>
      </c>
      <c r="J105" s="36">
        <f t="shared" si="6"/>
        <v>0</v>
      </c>
      <c r="K105" s="48" t="s">
        <v>14</v>
      </c>
      <c r="L105" s="48" t="s">
        <v>14</v>
      </c>
      <c r="M105" s="38">
        <v>42645</v>
      </c>
      <c r="N105" s="48"/>
      <c r="O105" s="35">
        <v>60000</v>
      </c>
      <c r="P105" s="35"/>
      <c r="Q105" s="35"/>
      <c r="R105" s="35"/>
      <c r="S105" s="58"/>
      <c r="T105" s="58"/>
    </row>
    <row r="106" spans="1:20" s="15" customFormat="1" ht="26.25" customHeight="1" x14ac:dyDescent="0.2">
      <c r="A106" s="43" t="s">
        <v>351</v>
      </c>
      <c r="B106" s="46" t="s">
        <v>22</v>
      </c>
      <c r="C106" s="44" t="s">
        <v>355</v>
      </c>
      <c r="D106" s="47">
        <v>13344</v>
      </c>
      <c r="E106" s="46" t="s">
        <v>360</v>
      </c>
      <c r="F106" s="35">
        <f>95000*3</f>
        <v>285000</v>
      </c>
      <c r="G106" s="35">
        <f>95000*3</f>
        <v>285000</v>
      </c>
      <c r="H106" s="35">
        <v>0</v>
      </c>
      <c r="I106" s="35">
        <f t="shared" si="5"/>
        <v>285000</v>
      </c>
      <c r="J106" s="36">
        <f t="shared" si="6"/>
        <v>0</v>
      </c>
      <c r="K106" s="48" t="s">
        <v>14</v>
      </c>
      <c r="L106" s="48" t="s">
        <v>14</v>
      </c>
      <c r="M106" s="38">
        <v>42978</v>
      </c>
      <c r="N106" s="48" t="s">
        <v>18</v>
      </c>
      <c r="O106" s="35">
        <v>95000</v>
      </c>
      <c r="P106" s="35">
        <v>95000</v>
      </c>
      <c r="Q106" s="35">
        <v>95000</v>
      </c>
      <c r="R106" s="35"/>
      <c r="S106" s="58"/>
      <c r="T106" s="58"/>
    </row>
    <row r="107" spans="1:20" s="15" customFormat="1" ht="26.25" customHeight="1" x14ac:dyDescent="0.2">
      <c r="A107" s="43" t="s">
        <v>352</v>
      </c>
      <c r="B107" s="46" t="s">
        <v>22</v>
      </c>
      <c r="C107" s="44" t="s">
        <v>356</v>
      </c>
      <c r="D107" s="47">
        <v>13345</v>
      </c>
      <c r="E107" s="46" t="s">
        <v>361</v>
      </c>
      <c r="F107" s="35">
        <f>95000*3</f>
        <v>285000</v>
      </c>
      <c r="G107" s="35">
        <f>95000*3</f>
        <v>285000</v>
      </c>
      <c r="H107" s="35">
        <v>0</v>
      </c>
      <c r="I107" s="35">
        <f t="shared" si="5"/>
        <v>285000</v>
      </c>
      <c r="J107" s="36">
        <f t="shared" si="6"/>
        <v>0</v>
      </c>
      <c r="K107" s="48" t="s">
        <v>14</v>
      </c>
      <c r="L107" s="48" t="s">
        <v>14</v>
      </c>
      <c r="M107" s="38">
        <v>42978</v>
      </c>
      <c r="N107" s="48" t="s">
        <v>18</v>
      </c>
      <c r="O107" s="35">
        <v>95000</v>
      </c>
      <c r="P107" s="35">
        <v>95000</v>
      </c>
      <c r="Q107" s="35">
        <v>95000</v>
      </c>
      <c r="R107" s="35"/>
      <c r="S107" s="58"/>
      <c r="T107" s="58"/>
    </row>
    <row r="108" spans="1:20" s="15" customFormat="1" ht="26.25" customHeight="1" x14ac:dyDescent="0.2">
      <c r="A108" s="43" t="s">
        <v>353</v>
      </c>
      <c r="B108" s="46" t="s">
        <v>21</v>
      </c>
      <c r="C108" s="44" t="s">
        <v>357</v>
      </c>
      <c r="D108" s="47">
        <v>13354</v>
      </c>
      <c r="E108" s="46" t="s">
        <v>362</v>
      </c>
      <c r="F108" s="35">
        <v>91554</v>
      </c>
      <c r="G108" s="35">
        <v>91554</v>
      </c>
      <c r="H108" s="35">
        <v>0</v>
      </c>
      <c r="I108" s="35">
        <f t="shared" si="5"/>
        <v>91554</v>
      </c>
      <c r="J108" s="36">
        <f t="shared" si="6"/>
        <v>0</v>
      </c>
      <c r="K108" s="48" t="s">
        <v>14</v>
      </c>
      <c r="L108" s="48" t="s">
        <v>15</v>
      </c>
      <c r="M108" s="38">
        <v>44926</v>
      </c>
      <c r="N108" s="48"/>
      <c r="O108" s="35">
        <v>91554</v>
      </c>
      <c r="P108" s="35"/>
      <c r="Q108" s="35"/>
      <c r="R108" s="35"/>
      <c r="S108" s="58"/>
      <c r="T108" s="58"/>
    </row>
    <row r="109" spans="1:20" s="15" customFormat="1" ht="26.25" customHeight="1" x14ac:dyDescent="0.2">
      <c r="A109" s="43" t="s">
        <v>354</v>
      </c>
      <c r="B109" s="46" t="s">
        <v>19</v>
      </c>
      <c r="C109" s="44" t="s">
        <v>358</v>
      </c>
      <c r="D109" s="47">
        <v>13356</v>
      </c>
      <c r="E109" s="46" t="s">
        <v>363</v>
      </c>
      <c r="F109" s="35">
        <f>89000*3</f>
        <v>267000</v>
      </c>
      <c r="G109" s="35">
        <f>89000*3</f>
        <v>267000</v>
      </c>
      <c r="H109" s="35">
        <v>0</v>
      </c>
      <c r="I109" s="35">
        <f t="shared" si="5"/>
        <v>267000</v>
      </c>
      <c r="J109" s="36">
        <f t="shared" si="6"/>
        <v>0</v>
      </c>
      <c r="K109" s="48" t="s">
        <v>14</v>
      </c>
      <c r="L109" s="48" t="s">
        <v>15</v>
      </c>
      <c r="M109" s="38">
        <v>42916</v>
      </c>
      <c r="N109" s="48" t="s">
        <v>18</v>
      </c>
      <c r="O109" s="35">
        <v>89000</v>
      </c>
      <c r="P109" s="35">
        <v>89000</v>
      </c>
      <c r="Q109" s="35">
        <v>89000</v>
      </c>
      <c r="R109" s="35"/>
      <c r="S109" s="58"/>
      <c r="T109" s="58"/>
    </row>
    <row r="110" spans="1:20" s="15" customFormat="1" ht="26.25" customHeight="1" x14ac:dyDescent="0.2">
      <c r="A110" s="43" t="s">
        <v>364</v>
      </c>
      <c r="B110" s="46" t="s">
        <v>22</v>
      </c>
      <c r="C110" s="44" t="s">
        <v>373</v>
      </c>
      <c r="D110" s="47">
        <v>13124</v>
      </c>
      <c r="E110" s="46" t="s">
        <v>379</v>
      </c>
      <c r="F110" s="35">
        <v>45000</v>
      </c>
      <c r="G110" s="40">
        <v>45000</v>
      </c>
      <c r="H110" s="35">
        <v>0</v>
      </c>
      <c r="I110" s="35">
        <f t="shared" si="5"/>
        <v>45000</v>
      </c>
      <c r="J110" s="36">
        <f t="shared" si="6"/>
        <v>0</v>
      </c>
      <c r="K110" s="48" t="s">
        <v>14</v>
      </c>
      <c r="L110" s="48" t="s">
        <v>14</v>
      </c>
      <c r="M110" s="38">
        <v>42916</v>
      </c>
      <c r="N110" s="48"/>
      <c r="O110" s="35">
        <v>45000</v>
      </c>
      <c r="P110" s="35"/>
      <c r="Q110" s="35"/>
      <c r="R110" s="35"/>
      <c r="S110" s="58"/>
      <c r="T110" s="58"/>
    </row>
    <row r="111" spans="1:20" s="15" customFormat="1" ht="18" customHeight="1" x14ac:dyDescent="0.2">
      <c r="A111" s="43" t="s">
        <v>365</v>
      </c>
      <c r="B111" s="46" t="s">
        <v>21</v>
      </c>
      <c r="C111" s="44" t="s">
        <v>374</v>
      </c>
      <c r="D111" s="54">
        <v>13226</v>
      </c>
      <c r="E111" s="46" t="s">
        <v>380</v>
      </c>
      <c r="F111" s="35">
        <v>15960</v>
      </c>
      <c r="G111" s="40">
        <v>15960</v>
      </c>
      <c r="H111" s="35">
        <v>0</v>
      </c>
      <c r="I111" s="35">
        <f t="shared" si="5"/>
        <v>15960</v>
      </c>
      <c r="J111" s="36">
        <f t="shared" si="6"/>
        <v>0</v>
      </c>
      <c r="K111" s="48" t="s">
        <v>14</v>
      </c>
      <c r="L111" s="48" t="s">
        <v>15</v>
      </c>
      <c r="M111" s="38">
        <v>42916</v>
      </c>
      <c r="N111" s="48"/>
      <c r="O111" s="35">
        <v>15960</v>
      </c>
      <c r="P111" s="35"/>
      <c r="Q111" s="35"/>
      <c r="R111" s="35"/>
      <c r="S111" s="58"/>
      <c r="T111" s="58"/>
    </row>
    <row r="112" spans="1:20" s="15" customFormat="1" ht="26.25" customHeight="1" x14ac:dyDescent="0.2">
      <c r="A112" s="43" t="s">
        <v>366</v>
      </c>
      <c r="B112" s="46" t="s">
        <v>30</v>
      </c>
      <c r="C112" s="44" t="s">
        <v>375</v>
      </c>
      <c r="D112" s="47">
        <v>13263</v>
      </c>
      <c r="E112" s="46" t="s">
        <v>381</v>
      </c>
      <c r="F112" s="35">
        <v>20200</v>
      </c>
      <c r="G112" s="35">
        <v>20200</v>
      </c>
      <c r="H112" s="35">
        <v>0</v>
      </c>
      <c r="I112" s="35">
        <f t="shared" si="5"/>
        <v>20200</v>
      </c>
      <c r="J112" s="36">
        <f t="shared" si="6"/>
        <v>0</v>
      </c>
      <c r="K112" s="48" t="s">
        <v>14</v>
      </c>
      <c r="L112" s="48" t="s">
        <v>14</v>
      </c>
      <c r="M112" s="38">
        <v>42681</v>
      </c>
      <c r="N112" s="48"/>
      <c r="O112" s="35">
        <v>20200</v>
      </c>
      <c r="P112" s="35"/>
      <c r="Q112" s="35"/>
      <c r="R112" s="35"/>
      <c r="S112" s="58"/>
      <c r="T112" s="58"/>
    </row>
    <row r="113" spans="1:20" s="15" customFormat="1" ht="26.25" customHeight="1" x14ac:dyDescent="0.2">
      <c r="A113" s="43" t="s">
        <v>367</v>
      </c>
      <c r="B113" s="46" t="s">
        <v>372</v>
      </c>
      <c r="C113" s="44" t="s">
        <v>376</v>
      </c>
      <c r="D113" s="47">
        <v>13306</v>
      </c>
      <c r="E113" s="46" t="s">
        <v>382</v>
      </c>
      <c r="F113" s="35">
        <f>13098*2</f>
        <v>26196</v>
      </c>
      <c r="G113" s="35">
        <f>13098*2</f>
        <v>26196</v>
      </c>
      <c r="H113" s="35">
        <v>0</v>
      </c>
      <c r="I113" s="35">
        <f t="shared" si="5"/>
        <v>26196</v>
      </c>
      <c r="J113" s="36">
        <f t="shared" si="6"/>
        <v>0</v>
      </c>
      <c r="K113" s="48" t="s">
        <v>14</v>
      </c>
      <c r="L113" s="48" t="s">
        <v>14</v>
      </c>
      <c r="M113" s="38">
        <v>42916</v>
      </c>
      <c r="N113" s="48" t="s">
        <v>18</v>
      </c>
      <c r="O113" s="35">
        <v>13098</v>
      </c>
      <c r="P113" s="35">
        <v>13098</v>
      </c>
      <c r="Q113" s="35"/>
      <c r="R113" s="35"/>
      <c r="S113" s="58"/>
      <c r="T113" s="58"/>
    </row>
    <row r="114" spans="1:20" s="15" customFormat="1" ht="26.25" customHeight="1" x14ac:dyDescent="0.2">
      <c r="A114" s="43" t="s">
        <v>368</v>
      </c>
      <c r="B114" s="46" t="s">
        <v>26</v>
      </c>
      <c r="C114" s="44" t="s">
        <v>63</v>
      </c>
      <c r="D114" s="54" t="s">
        <v>378</v>
      </c>
      <c r="E114" s="46" t="s">
        <v>383</v>
      </c>
      <c r="F114" s="35">
        <v>30000</v>
      </c>
      <c r="G114" s="40">
        <v>5000</v>
      </c>
      <c r="H114" s="35">
        <f>30000+25000+35000+10000+50000+39000+30000</f>
        <v>219000</v>
      </c>
      <c r="I114" s="35">
        <f t="shared" si="5"/>
        <v>224000</v>
      </c>
      <c r="J114" s="36">
        <f t="shared" si="6"/>
        <v>43.8</v>
      </c>
      <c r="K114" s="48" t="s">
        <v>14</v>
      </c>
      <c r="L114" s="48" t="s">
        <v>14</v>
      </c>
      <c r="M114" s="38">
        <v>42916</v>
      </c>
      <c r="N114" s="48" t="s">
        <v>28</v>
      </c>
      <c r="O114" s="35">
        <v>30000</v>
      </c>
      <c r="P114" s="35"/>
      <c r="Q114" s="35"/>
      <c r="R114" s="35"/>
      <c r="S114" s="58"/>
      <c r="T114" s="58"/>
    </row>
    <row r="115" spans="1:20" s="15" customFormat="1" ht="26.25" customHeight="1" x14ac:dyDescent="0.2">
      <c r="A115" s="43" t="s">
        <v>369</v>
      </c>
      <c r="B115" s="46" t="s">
        <v>69</v>
      </c>
      <c r="C115" s="44" t="s">
        <v>32</v>
      </c>
      <c r="D115" s="47">
        <v>13366</v>
      </c>
      <c r="E115" s="46" t="s">
        <v>384</v>
      </c>
      <c r="F115" s="35">
        <f>24756*3</f>
        <v>74268</v>
      </c>
      <c r="G115" s="35">
        <f>24756*3</f>
        <v>74268</v>
      </c>
      <c r="H115" s="35">
        <v>0</v>
      </c>
      <c r="I115" s="35">
        <f t="shared" si="5"/>
        <v>74268</v>
      </c>
      <c r="J115" s="36">
        <f t="shared" si="6"/>
        <v>0</v>
      </c>
      <c r="K115" s="48" t="s">
        <v>14</v>
      </c>
      <c r="L115" s="48" t="s">
        <v>14</v>
      </c>
      <c r="M115" s="38">
        <v>43008</v>
      </c>
      <c r="N115" s="48" t="s">
        <v>18</v>
      </c>
      <c r="O115" s="35">
        <v>24756</v>
      </c>
      <c r="P115" s="35">
        <v>24756</v>
      </c>
      <c r="Q115" s="35">
        <v>24756</v>
      </c>
      <c r="R115" s="35"/>
      <c r="S115" s="58"/>
      <c r="T115" s="58"/>
    </row>
    <row r="116" spans="1:20" s="15" customFormat="1" ht="26.25" customHeight="1" x14ac:dyDescent="0.2">
      <c r="A116" s="43" t="s">
        <v>370</v>
      </c>
      <c r="B116" s="46" t="s">
        <v>69</v>
      </c>
      <c r="C116" s="44" t="s">
        <v>377</v>
      </c>
      <c r="D116" s="47">
        <v>13367</v>
      </c>
      <c r="E116" s="46" t="s">
        <v>385</v>
      </c>
      <c r="F116" s="35">
        <v>18000</v>
      </c>
      <c r="G116" s="40">
        <v>18000</v>
      </c>
      <c r="H116" s="35">
        <v>0</v>
      </c>
      <c r="I116" s="35">
        <f t="shared" si="5"/>
        <v>18000</v>
      </c>
      <c r="J116" s="36">
        <f t="shared" si="6"/>
        <v>0</v>
      </c>
      <c r="K116" s="48" t="s">
        <v>14</v>
      </c>
      <c r="L116" s="48" t="s">
        <v>14</v>
      </c>
      <c r="M116" s="38">
        <v>43008</v>
      </c>
      <c r="N116" s="48"/>
      <c r="O116" s="35">
        <v>18000</v>
      </c>
      <c r="P116" s="35"/>
      <c r="Q116" s="35"/>
      <c r="R116" s="35"/>
      <c r="S116" s="58"/>
      <c r="T116" s="58"/>
    </row>
    <row r="117" spans="1:20" s="15" customFormat="1" ht="26.25" customHeight="1" x14ac:dyDescent="0.2">
      <c r="A117" s="43" t="s">
        <v>371</v>
      </c>
      <c r="B117" s="46" t="s">
        <v>69</v>
      </c>
      <c r="C117" s="44" t="s">
        <v>60</v>
      </c>
      <c r="D117" s="47">
        <v>13376</v>
      </c>
      <c r="E117" s="55" t="s">
        <v>386</v>
      </c>
      <c r="F117" s="35">
        <v>45000</v>
      </c>
      <c r="G117" s="40">
        <v>45000</v>
      </c>
      <c r="H117" s="35">
        <v>0</v>
      </c>
      <c r="I117" s="35">
        <f t="shared" si="5"/>
        <v>45000</v>
      </c>
      <c r="J117" s="36">
        <f t="shared" si="6"/>
        <v>0</v>
      </c>
      <c r="K117" s="48" t="s">
        <v>14</v>
      </c>
      <c r="L117" s="48" t="s">
        <v>14</v>
      </c>
      <c r="M117" s="52">
        <v>42993</v>
      </c>
      <c r="N117" s="48"/>
      <c r="O117" s="35">
        <v>45000</v>
      </c>
      <c r="P117" s="35"/>
      <c r="Q117" s="35"/>
      <c r="R117" s="35"/>
      <c r="S117" s="58"/>
      <c r="T117" s="58"/>
    </row>
    <row r="118" spans="1:20" s="15" customFormat="1" ht="26.25" customHeight="1" x14ac:dyDescent="0.2">
      <c r="A118" s="43" t="s">
        <v>387</v>
      </c>
      <c r="B118" s="46" t="s">
        <v>69</v>
      </c>
      <c r="C118" s="44" t="s">
        <v>389</v>
      </c>
      <c r="D118" s="47">
        <v>13393</v>
      </c>
      <c r="E118" s="46" t="s">
        <v>390</v>
      </c>
      <c r="F118" s="35">
        <f>87000*3</f>
        <v>261000</v>
      </c>
      <c r="G118" s="35">
        <f>87000*3</f>
        <v>261000</v>
      </c>
      <c r="H118" s="35">
        <v>0</v>
      </c>
      <c r="I118" s="35">
        <f t="shared" si="5"/>
        <v>261000</v>
      </c>
      <c r="J118" s="36">
        <f t="shared" si="6"/>
        <v>0</v>
      </c>
      <c r="K118" s="48" t="s">
        <v>14</v>
      </c>
      <c r="L118" s="48" t="s">
        <v>14</v>
      </c>
      <c r="M118" s="38">
        <v>43008</v>
      </c>
      <c r="N118" s="48" t="s">
        <v>18</v>
      </c>
      <c r="O118" s="35">
        <v>87000</v>
      </c>
      <c r="P118" s="35">
        <v>87000</v>
      </c>
      <c r="Q118" s="35">
        <v>87000</v>
      </c>
      <c r="R118" s="35"/>
      <c r="S118" s="58"/>
      <c r="T118" s="58"/>
    </row>
    <row r="119" spans="1:20" s="15" customFormat="1" ht="26.25" customHeight="1" x14ac:dyDescent="0.2">
      <c r="A119" s="43" t="s">
        <v>388</v>
      </c>
      <c r="B119" s="46" t="s">
        <v>69</v>
      </c>
      <c r="C119" s="44" t="s">
        <v>58</v>
      </c>
      <c r="D119" s="47">
        <v>13407</v>
      </c>
      <c r="E119" s="46" t="s">
        <v>391</v>
      </c>
      <c r="F119" s="35">
        <f>52530*3</f>
        <v>157590</v>
      </c>
      <c r="G119" s="35">
        <f>52530*3</f>
        <v>157590</v>
      </c>
      <c r="H119" s="35">
        <v>0</v>
      </c>
      <c r="I119" s="35">
        <f t="shared" si="5"/>
        <v>157590</v>
      </c>
      <c r="J119" s="36">
        <f t="shared" si="6"/>
        <v>0</v>
      </c>
      <c r="K119" s="48" t="s">
        <v>14</v>
      </c>
      <c r="L119" s="48" t="s">
        <v>14</v>
      </c>
      <c r="M119" s="38">
        <v>43002</v>
      </c>
      <c r="N119" s="48" t="s">
        <v>18</v>
      </c>
      <c r="O119" s="35">
        <v>52530</v>
      </c>
      <c r="P119" s="35">
        <v>52530</v>
      </c>
      <c r="Q119" s="35">
        <v>52530</v>
      </c>
      <c r="R119" s="35"/>
      <c r="S119" s="58"/>
      <c r="T119" s="58"/>
    </row>
    <row r="120" spans="1:20" s="15" customFormat="1" ht="26.25" customHeight="1" x14ac:dyDescent="0.2">
      <c r="A120" s="43" t="s">
        <v>393</v>
      </c>
      <c r="B120" s="46" t="s">
        <v>21</v>
      </c>
      <c r="C120" s="44" t="s">
        <v>398</v>
      </c>
      <c r="D120" s="47">
        <v>13340</v>
      </c>
      <c r="E120" s="46" t="s">
        <v>405</v>
      </c>
      <c r="F120" s="35">
        <v>13869</v>
      </c>
      <c r="G120" s="35">
        <v>13869</v>
      </c>
      <c r="H120" s="35">
        <v>0</v>
      </c>
      <c r="I120" s="35">
        <f t="shared" si="5"/>
        <v>13869</v>
      </c>
      <c r="J120" s="36">
        <f t="shared" si="6"/>
        <v>0</v>
      </c>
      <c r="K120" s="48" t="s">
        <v>14</v>
      </c>
      <c r="L120" s="48" t="s">
        <v>14</v>
      </c>
      <c r="M120" s="38">
        <v>42916</v>
      </c>
      <c r="N120" s="48"/>
      <c r="O120" s="35">
        <v>13869</v>
      </c>
      <c r="P120" s="35"/>
      <c r="Q120" s="35"/>
      <c r="R120" s="35"/>
      <c r="S120" s="58"/>
      <c r="T120" s="58"/>
    </row>
    <row r="121" spans="1:20" s="15" customFormat="1" ht="26.25" customHeight="1" x14ac:dyDescent="0.2">
      <c r="A121" s="43" t="s">
        <v>394</v>
      </c>
      <c r="B121" s="46" t="s">
        <v>21</v>
      </c>
      <c r="C121" s="44" t="s">
        <v>399</v>
      </c>
      <c r="D121" s="47">
        <v>13341</v>
      </c>
      <c r="E121" s="46" t="s">
        <v>406</v>
      </c>
      <c r="F121" s="35">
        <v>17295</v>
      </c>
      <c r="G121" s="35">
        <v>17295</v>
      </c>
      <c r="H121" s="35">
        <v>0</v>
      </c>
      <c r="I121" s="35">
        <f t="shared" si="5"/>
        <v>17295</v>
      </c>
      <c r="J121" s="36">
        <f t="shared" si="6"/>
        <v>0</v>
      </c>
      <c r="K121" s="48" t="s">
        <v>14</v>
      </c>
      <c r="L121" s="48" t="s">
        <v>14</v>
      </c>
      <c r="M121" s="38">
        <v>42916</v>
      </c>
      <c r="N121" s="48"/>
      <c r="O121" s="35">
        <v>17295</v>
      </c>
      <c r="P121" s="35"/>
      <c r="Q121" s="35"/>
      <c r="R121" s="35"/>
      <c r="S121" s="58"/>
      <c r="T121" s="58"/>
    </row>
    <row r="122" spans="1:20" s="15" customFormat="1" ht="26.25" customHeight="1" x14ac:dyDescent="0.2">
      <c r="A122" s="43" t="s">
        <v>395</v>
      </c>
      <c r="B122" s="46" t="s">
        <v>35</v>
      </c>
      <c r="C122" s="44" t="s">
        <v>400</v>
      </c>
      <c r="D122" s="47">
        <v>13371</v>
      </c>
      <c r="E122" s="46" t="s">
        <v>402</v>
      </c>
      <c r="F122" s="35">
        <v>12450</v>
      </c>
      <c r="G122" s="35">
        <v>12450</v>
      </c>
      <c r="H122" s="35">
        <v>0</v>
      </c>
      <c r="I122" s="35">
        <f t="shared" si="5"/>
        <v>12450</v>
      </c>
      <c r="J122" s="36">
        <f t="shared" si="6"/>
        <v>0</v>
      </c>
      <c r="K122" s="48" t="s">
        <v>15</v>
      </c>
      <c r="L122" s="48" t="s">
        <v>15</v>
      </c>
      <c r="M122" s="38">
        <v>43084</v>
      </c>
      <c r="N122" s="48"/>
      <c r="O122" s="35">
        <v>12450</v>
      </c>
      <c r="P122" s="35"/>
      <c r="Q122" s="35"/>
      <c r="R122" s="35"/>
      <c r="S122" s="58"/>
      <c r="T122" s="58"/>
    </row>
    <row r="123" spans="1:20" s="15" customFormat="1" ht="26.25" customHeight="1" x14ac:dyDescent="0.2">
      <c r="A123" s="43" t="s">
        <v>396</v>
      </c>
      <c r="B123" s="46" t="s">
        <v>69</v>
      </c>
      <c r="C123" s="44" t="s">
        <v>84</v>
      </c>
      <c r="D123" s="47">
        <v>13411</v>
      </c>
      <c r="E123" s="46" t="s">
        <v>403</v>
      </c>
      <c r="F123" s="35">
        <v>22371</v>
      </c>
      <c r="G123" s="35">
        <v>22371</v>
      </c>
      <c r="H123" s="35">
        <v>0</v>
      </c>
      <c r="I123" s="35">
        <f t="shared" si="5"/>
        <v>22371</v>
      </c>
      <c r="J123" s="36">
        <f t="shared" si="6"/>
        <v>0</v>
      </c>
      <c r="K123" s="48" t="s">
        <v>14</v>
      </c>
      <c r="L123" s="48" t="s">
        <v>14</v>
      </c>
      <c r="M123" s="38">
        <v>43008</v>
      </c>
      <c r="N123" s="48"/>
      <c r="O123" s="35">
        <v>22371</v>
      </c>
      <c r="P123" s="35"/>
      <c r="Q123" s="35"/>
      <c r="R123" s="35"/>
      <c r="S123" s="58"/>
      <c r="T123" s="58"/>
    </row>
    <row r="124" spans="1:20" s="15" customFormat="1" ht="26.25" customHeight="1" x14ac:dyDescent="0.2">
      <c r="A124" s="43" t="s">
        <v>397</v>
      </c>
      <c r="B124" s="46" t="s">
        <v>69</v>
      </c>
      <c r="C124" s="44" t="s">
        <v>401</v>
      </c>
      <c r="D124" s="47">
        <v>13449</v>
      </c>
      <c r="E124" s="46" t="s">
        <v>404</v>
      </c>
      <c r="F124" s="35">
        <v>20475</v>
      </c>
      <c r="G124" s="35">
        <v>20475</v>
      </c>
      <c r="H124" s="35">
        <v>0</v>
      </c>
      <c r="I124" s="35">
        <f t="shared" si="5"/>
        <v>20475</v>
      </c>
      <c r="J124" s="36">
        <f t="shared" si="6"/>
        <v>0</v>
      </c>
      <c r="K124" s="48" t="s">
        <v>14</v>
      </c>
      <c r="L124" s="48" t="s">
        <v>14</v>
      </c>
      <c r="M124" s="38">
        <v>43008</v>
      </c>
      <c r="N124" s="48"/>
      <c r="O124" s="35">
        <v>20475</v>
      </c>
      <c r="P124" s="35"/>
      <c r="Q124" s="35"/>
      <c r="R124" s="35"/>
      <c r="S124" s="58"/>
      <c r="T124" s="58"/>
    </row>
    <row r="125" spans="1:20" s="15" customFormat="1" ht="26.25" customHeight="1" x14ac:dyDescent="0.2">
      <c r="A125" s="43" t="s">
        <v>407</v>
      </c>
      <c r="B125" s="46" t="s">
        <v>21</v>
      </c>
      <c r="C125" s="44" t="s">
        <v>410</v>
      </c>
      <c r="D125" s="47">
        <v>13387</v>
      </c>
      <c r="E125" s="46" t="s">
        <v>412</v>
      </c>
      <c r="F125" s="35">
        <f>98000*3</f>
        <v>294000</v>
      </c>
      <c r="G125" s="35">
        <f>98000*3</f>
        <v>294000</v>
      </c>
      <c r="H125" s="35">
        <v>0</v>
      </c>
      <c r="I125" s="35">
        <f t="shared" si="5"/>
        <v>294000</v>
      </c>
      <c r="J125" s="36">
        <f t="shared" si="6"/>
        <v>0</v>
      </c>
      <c r="K125" s="48" t="s">
        <v>14</v>
      </c>
      <c r="L125" s="48" t="s">
        <v>14</v>
      </c>
      <c r="M125" s="38">
        <v>42916</v>
      </c>
      <c r="N125" s="48" t="s">
        <v>18</v>
      </c>
      <c r="O125" s="35">
        <v>98000</v>
      </c>
      <c r="P125" s="35">
        <v>98000</v>
      </c>
      <c r="Q125" s="35">
        <v>98000</v>
      </c>
      <c r="R125" s="35"/>
      <c r="S125" s="58"/>
      <c r="T125" s="58"/>
    </row>
    <row r="126" spans="1:20" s="15" customFormat="1" ht="26.25" customHeight="1" x14ac:dyDescent="0.2">
      <c r="A126" s="43" t="s">
        <v>408</v>
      </c>
      <c r="B126" s="46" t="s">
        <v>21</v>
      </c>
      <c r="C126" s="44" t="s">
        <v>411</v>
      </c>
      <c r="D126" s="47">
        <v>13447</v>
      </c>
      <c r="E126" s="46" t="s">
        <v>413</v>
      </c>
      <c r="F126" s="35">
        <v>98000</v>
      </c>
      <c r="G126" s="35">
        <v>98000</v>
      </c>
      <c r="H126" s="35">
        <v>0</v>
      </c>
      <c r="I126" s="35">
        <f t="shared" si="5"/>
        <v>98000</v>
      </c>
      <c r="J126" s="36">
        <f t="shared" si="6"/>
        <v>0</v>
      </c>
      <c r="K126" s="48" t="s">
        <v>14</v>
      </c>
      <c r="L126" s="48" t="s">
        <v>15</v>
      </c>
      <c r="M126" s="38">
        <v>42794</v>
      </c>
      <c r="N126" s="48"/>
      <c r="O126" s="35">
        <v>98000</v>
      </c>
      <c r="P126" s="35"/>
      <c r="Q126" s="35"/>
      <c r="R126" s="35"/>
      <c r="S126" s="58"/>
      <c r="T126" s="58"/>
    </row>
    <row r="127" spans="1:20" s="15" customFormat="1" ht="26.25" customHeight="1" x14ac:dyDescent="0.2">
      <c r="A127" s="43" t="s">
        <v>409</v>
      </c>
      <c r="B127" s="46" t="s">
        <v>372</v>
      </c>
      <c r="C127" s="44" t="s">
        <v>376</v>
      </c>
      <c r="D127" s="47">
        <v>13487</v>
      </c>
      <c r="E127" s="46" t="s">
        <v>414</v>
      </c>
      <c r="F127" s="35">
        <v>99000</v>
      </c>
      <c r="G127" s="35">
        <v>99000</v>
      </c>
      <c r="H127" s="35">
        <v>0</v>
      </c>
      <c r="I127" s="35">
        <f t="shared" si="5"/>
        <v>99000</v>
      </c>
      <c r="J127" s="36">
        <f t="shared" si="6"/>
        <v>0</v>
      </c>
      <c r="K127" s="48" t="s">
        <v>14</v>
      </c>
      <c r="L127" s="48" t="s">
        <v>14</v>
      </c>
      <c r="M127" s="38">
        <v>42916</v>
      </c>
      <c r="N127" s="48"/>
      <c r="O127" s="35">
        <v>99000</v>
      </c>
      <c r="P127" s="35"/>
      <c r="Q127" s="35"/>
      <c r="R127" s="35"/>
      <c r="S127" s="58"/>
      <c r="T127" s="58"/>
    </row>
    <row r="128" spans="1:20" s="15" customFormat="1" ht="26.25" customHeight="1" x14ac:dyDescent="0.2">
      <c r="A128" s="43" t="s">
        <v>415</v>
      </c>
      <c r="B128" s="46" t="s">
        <v>19</v>
      </c>
      <c r="C128" s="44" t="s">
        <v>422</v>
      </c>
      <c r="D128" s="47">
        <v>12946</v>
      </c>
      <c r="E128" s="46" t="s">
        <v>429</v>
      </c>
      <c r="F128" s="35">
        <v>30000</v>
      </c>
      <c r="G128" s="35">
        <v>30000</v>
      </c>
      <c r="H128" s="35">
        <v>0</v>
      </c>
      <c r="I128" s="35">
        <f t="shared" si="5"/>
        <v>30000</v>
      </c>
      <c r="J128" s="36">
        <f t="shared" si="6"/>
        <v>0</v>
      </c>
      <c r="K128" s="48" t="s">
        <v>14</v>
      </c>
      <c r="L128" s="48" t="s">
        <v>14</v>
      </c>
      <c r="M128" s="38">
        <v>42916</v>
      </c>
      <c r="N128" s="48"/>
      <c r="O128" s="35">
        <v>30000</v>
      </c>
      <c r="P128" s="35"/>
      <c r="Q128" s="35"/>
      <c r="R128" s="35"/>
      <c r="S128" s="58"/>
      <c r="T128" s="58"/>
    </row>
    <row r="129" spans="1:20" s="15" customFormat="1" ht="26.25" customHeight="1" x14ac:dyDescent="0.2">
      <c r="A129" s="43" t="s">
        <v>416</v>
      </c>
      <c r="B129" s="46" t="s">
        <v>19</v>
      </c>
      <c r="C129" s="44" t="s">
        <v>423</v>
      </c>
      <c r="D129" s="47">
        <v>13328</v>
      </c>
      <c r="E129" s="46" t="s">
        <v>434</v>
      </c>
      <c r="F129" s="35">
        <v>15000</v>
      </c>
      <c r="G129" s="35">
        <v>15000</v>
      </c>
      <c r="H129" s="35">
        <v>0</v>
      </c>
      <c r="I129" s="35">
        <f t="shared" si="5"/>
        <v>15000</v>
      </c>
      <c r="J129" s="36">
        <f t="shared" si="6"/>
        <v>0</v>
      </c>
      <c r="K129" s="48" t="s">
        <v>14</v>
      </c>
      <c r="L129" s="48" t="s">
        <v>14</v>
      </c>
      <c r="M129" s="38">
        <v>42916</v>
      </c>
      <c r="N129" s="48"/>
      <c r="O129" s="35">
        <v>15000</v>
      </c>
      <c r="P129" s="35"/>
      <c r="Q129" s="35"/>
      <c r="R129" s="35"/>
      <c r="S129" s="58"/>
      <c r="T129" s="58"/>
    </row>
    <row r="130" spans="1:20" s="15" customFormat="1" ht="26.25" customHeight="1" x14ac:dyDescent="0.2">
      <c r="A130" s="43" t="s">
        <v>417</v>
      </c>
      <c r="B130" s="46" t="s">
        <v>30</v>
      </c>
      <c r="C130" s="44" t="s">
        <v>424</v>
      </c>
      <c r="D130" s="47">
        <v>13450</v>
      </c>
      <c r="E130" s="46" t="s">
        <v>430</v>
      </c>
      <c r="F130" s="35">
        <v>24800</v>
      </c>
      <c r="G130" s="35">
        <v>24800</v>
      </c>
      <c r="H130" s="35">
        <v>0</v>
      </c>
      <c r="I130" s="35">
        <f t="shared" si="5"/>
        <v>24800</v>
      </c>
      <c r="J130" s="36">
        <f t="shared" si="6"/>
        <v>0</v>
      </c>
      <c r="K130" s="48" t="s">
        <v>14</v>
      </c>
      <c r="L130" s="48" t="s">
        <v>15</v>
      </c>
      <c r="M130" s="38">
        <v>43038</v>
      </c>
      <c r="N130" s="48"/>
      <c r="O130" s="35">
        <v>24800</v>
      </c>
      <c r="P130" s="35"/>
      <c r="Q130" s="35"/>
      <c r="R130" s="35"/>
      <c r="S130" s="58"/>
      <c r="T130" s="58"/>
    </row>
    <row r="131" spans="1:20" s="15" customFormat="1" ht="26.25" customHeight="1" x14ac:dyDescent="0.2">
      <c r="A131" s="43" t="s">
        <v>418</v>
      </c>
      <c r="B131" s="46" t="s">
        <v>26</v>
      </c>
      <c r="C131" s="44" t="s">
        <v>425</v>
      </c>
      <c r="D131" s="47">
        <v>13460</v>
      </c>
      <c r="E131" s="46" t="s">
        <v>431</v>
      </c>
      <c r="F131" s="35">
        <v>25000</v>
      </c>
      <c r="G131" s="35">
        <v>25000</v>
      </c>
      <c r="H131" s="35">
        <v>0</v>
      </c>
      <c r="I131" s="35">
        <f t="shared" si="5"/>
        <v>25000</v>
      </c>
      <c r="J131" s="36">
        <f t="shared" si="6"/>
        <v>0</v>
      </c>
      <c r="K131" s="48" t="s">
        <v>14</v>
      </c>
      <c r="L131" s="48" t="s">
        <v>14</v>
      </c>
      <c r="M131" s="38">
        <v>42916</v>
      </c>
      <c r="N131" s="48"/>
      <c r="O131" s="35">
        <v>25000</v>
      </c>
      <c r="P131" s="35"/>
      <c r="Q131" s="35"/>
      <c r="R131" s="35"/>
      <c r="S131" s="58"/>
      <c r="T131" s="58"/>
    </row>
    <row r="132" spans="1:20" s="15" customFormat="1" ht="26.25" customHeight="1" x14ac:dyDescent="0.2">
      <c r="A132" s="43" t="s">
        <v>419</v>
      </c>
      <c r="B132" s="46" t="s">
        <v>19</v>
      </c>
      <c r="C132" s="44" t="s">
        <v>426</v>
      </c>
      <c r="D132" s="47">
        <v>13484</v>
      </c>
      <c r="E132" s="46" t="s">
        <v>432</v>
      </c>
      <c r="F132" s="35">
        <v>5293</v>
      </c>
      <c r="G132" s="35">
        <v>5293</v>
      </c>
      <c r="H132" s="35">
        <v>0</v>
      </c>
      <c r="I132" s="35">
        <f t="shared" si="5"/>
        <v>5293</v>
      </c>
      <c r="J132" s="36">
        <f t="shared" si="6"/>
        <v>0</v>
      </c>
      <c r="K132" s="48" t="s">
        <v>14</v>
      </c>
      <c r="L132" s="48" t="s">
        <v>14</v>
      </c>
      <c r="M132" s="38">
        <v>42643</v>
      </c>
      <c r="N132" s="48"/>
      <c r="O132" s="35">
        <v>5293</v>
      </c>
      <c r="P132" s="35"/>
      <c r="Q132" s="35"/>
      <c r="R132" s="35"/>
      <c r="S132" s="58"/>
      <c r="T132" s="58"/>
    </row>
    <row r="133" spans="1:20" s="15" customFormat="1" ht="26.25" customHeight="1" x14ac:dyDescent="0.2">
      <c r="A133" s="43" t="s">
        <v>420</v>
      </c>
      <c r="B133" s="46" t="s">
        <v>17</v>
      </c>
      <c r="C133" s="44" t="s">
        <v>427</v>
      </c>
      <c r="D133" s="47">
        <v>13492</v>
      </c>
      <c r="E133" s="46" t="s">
        <v>433</v>
      </c>
      <c r="F133" s="35">
        <f>45000*2</f>
        <v>90000</v>
      </c>
      <c r="G133" s="35">
        <f>45000*2</f>
        <v>90000</v>
      </c>
      <c r="H133" s="35">
        <v>0</v>
      </c>
      <c r="I133" s="35">
        <f t="shared" si="5"/>
        <v>90000</v>
      </c>
      <c r="J133" s="36">
        <f t="shared" si="6"/>
        <v>0</v>
      </c>
      <c r="K133" s="48" t="s">
        <v>14</v>
      </c>
      <c r="L133" s="48" t="s">
        <v>15</v>
      </c>
      <c r="M133" s="38">
        <v>42916</v>
      </c>
      <c r="N133" s="48" t="s">
        <v>18</v>
      </c>
      <c r="O133" s="35">
        <v>45000</v>
      </c>
      <c r="P133" s="35">
        <v>45000</v>
      </c>
      <c r="Q133" s="35"/>
      <c r="R133" s="35"/>
      <c r="S133" s="58"/>
      <c r="T133" s="58"/>
    </row>
    <row r="134" spans="1:20" s="15" customFormat="1" ht="26.25" customHeight="1" x14ac:dyDescent="0.2">
      <c r="A134" s="43" t="s">
        <v>421</v>
      </c>
      <c r="B134" s="46" t="s">
        <v>21</v>
      </c>
      <c r="C134" s="44" t="s">
        <v>428</v>
      </c>
      <c r="D134" s="47">
        <v>13490</v>
      </c>
      <c r="E134" s="46" t="s">
        <v>435</v>
      </c>
      <c r="F134" s="35">
        <v>32000</v>
      </c>
      <c r="G134" s="35">
        <v>32000</v>
      </c>
      <c r="H134" s="35">
        <v>0</v>
      </c>
      <c r="I134" s="35">
        <f t="shared" si="5"/>
        <v>32000</v>
      </c>
      <c r="J134" s="36">
        <f t="shared" si="6"/>
        <v>0</v>
      </c>
      <c r="K134" s="48" t="s">
        <v>14</v>
      </c>
      <c r="L134" s="48" t="s">
        <v>14</v>
      </c>
      <c r="M134" s="38">
        <v>42766</v>
      </c>
      <c r="N134" s="48"/>
      <c r="O134" s="35">
        <v>32000</v>
      </c>
      <c r="P134" s="35"/>
      <c r="Q134" s="35"/>
      <c r="R134" s="35"/>
      <c r="S134" s="58"/>
      <c r="T134" s="58"/>
    </row>
    <row r="135" spans="1:20" s="15" customFormat="1" ht="26.25" customHeight="1" x14ac:dyDescent="0.2">
      <c r="A135" s="43" t="s">
        <v>436</v>
      </c>
      <c r="B135" s="46" t="s">
        <v>69</v>
      </c>
      <c r="C135" s="44" t="s">
        <v>438</v>
      </c>
      <c r="D135" s="47">
        <v>13477</v>
      </c>
      <c r="E135" s="46" t="s">
        <v>440</v>
      </c>
      <c r="F135" s="35">
        <v>98400</v>
      </c>
      <c r="G135" s="35">
        <v>98400</v>
      </c>
      <c r="H135" s="35">
        <v>0</v>
      </c>
      <c r="I135" s="35">
        <f t="shared" si="5"/>
        <v>98400</v>
      </c>
      <c r="J135" s="36">
        <f t="shared" si="6"/>
        <v>0</v>
      </c>
      <c r="K135" s="48" t="s">
        <v>14</v>
      </c>
      <c r="L135" s="48" t="s">
        <v>14</v>
      </c>
      <c r="M135" s="38">
        <v>43070</v>
      </c>
      <c r="N135" s="48"/>
      <c r="O135" s="35">
        <v>98400</v>
      </c>
      <c r="P135" s="35"/>
      <c r="Q135" s="35"/>
      <c r="R135" s="35"/>
      <c r="S135" s="58"/>
      <c r="T135" s="58"/>
    </row>
    <row r="136" spans="1:20" s="15" customFormat="1" ht="26.25" customHeight="1" x14ac:dyDescent="0.2">
      <c r="A136" s="43" t="s">
        <v>437</v>
      </c>
      <c r="B136" s="46" t="s">
        <v>69</v>
      </c>
      <c r="C136" s="44" t="s">
        <v>439</v>
      </c>
      <c r="D136" s="47">
        <v>13502</v>
      </c>
      <c r="E136" s="46" t="s">
        <v>441</v>
      </c>
      <c r="F136" s="35">
        <v>99000</v>
      </c>
      <c r="G136" s="35">
        <v>99000</v>
      </c>
      <c r="H136" s="35">
        <v>0</v>
      </c>
      <c r="I136" s="35">
        <f t="shared" si="5"/>
        <v>99000</v>
      </c>
      <c r="J136" s="36">
        <f t="shared" si="6"/>
        <v>0</v>
      </c>
      <c r="K136" s="48" t="s">
        <v>14</v>
      </c>
      <c r="L136" s="48" t="s">
        <v>14</v>
      </c>
      <c r="M136" s="38">
        <v>43023</v>
      </c>
      <c r="N136" s="48"/>
      <c r="O136" s="35">
        <v>99000</v>
      </c>
      <c r="P136" s="35"/>
      <c r="Q136" s="35"/>
      <c r="R136" s="35"/>
      <c r="S136" s="58"/>
      <c r="T136" s="58"/>
    </row>
    <row r="137" spans="1:20" s="15" customFormat="1" ht="26.25" customHeight="1" x14ac:dyDescent="0.2">
      <c r="A137" s="43" t="s">
        <v>442</v>
      </c>
      <c r="B137" s="46" t="s">
        <v>21</v>
      </c>
      <c r="C137" s="44" t="s">
        <v>448</v>
      </c>
      <c r="D137" s="47">
        <v>13486</v>
      </c>
      <c r="E137" s="46" t="s">
        <v>454</v>
      </c>
      <c r="F137" s="35">
        <v>50000</v>
      </c>
      <c r="G137" s="35">
        <v>50000</v>
      </c>
      <c r="H137" s="35">
        <v>0</v>
      </c>
      <c r="I137" s="35">
        <f t="shared" si="5"/>
        <v>50000</v>
      </c>
      <c r="J137" s="36">
        <f t="shared" si="6"/>
        <v>0</v>
      </c>
      <c r="K137" s="48" t="s">
        <v>15</v>
      </c>
      <c r="L137" s="48" t="s">
        <v>14</v>
      </c>
      <c r="M137" s="38">
        <v>43468</v>
      </c>
      <c r="N137" s="48"/>
      <c r="O137" s="35">
        <v>50000</v>
      </c>
      <c r="P137" s="35"/>
      <c r="Q137" s="35"/>
      <c r="R137" s="35"/>
      <c r="S137" s="58"/>
      <c r="T137" s="58"/>
    </row>
    <row r="138" spans="1:20" s="15" customFormat="1" ht="26.25" customHeight="1" x14ac:dyDescent="0.2">
      <c r="A138" s="43" t="s">
        <v>444</v>
      </c>
      <c r="B138" s="46" t="s">
        <v>26</v>
      </c>
      <c r="C138" s="44" t="s">
        <v>450</v>
      </c>
      <c r="D138" s="47">
        <v>13530</v>
      </c>
      <c r="E138" s="46" t="s">
        <v>456</v>
      </c>
      <c r="F138" s="35">
        <v>99000</v>
      </c>
      <c r="G138" s="35">
        <v>99000</v>
      </c>
      <c r="H138" s="35">
        <v>0</v>
      </c>
      <c r="I138" s="35">
        <f t="shared" si="5"/>
        <v>99000</v>
      </c>
      <c r="J138" s="36">
        <f t="shared" si="6"/>
        <v>0</v>
      </c>
      <c r="K138" s="48" t="s">
        <v>14</v>
      </c>
      <c r="L138" s="48" t="s">
        <v>14</v>
      </c>
      <c r="M138" s="38">
        <v>43281</v>
      </c>
      <c r="N138" s="48"/>
      <c r="O138" s="35">
        <v>99000</v>
      </c>
      <c r="P138" s="35"/>
      <c r="Q138" s="35"/>
      <c r="R138" s="35"/>
      <c r="S138" s="58"/>
      <c r="T138" s="58"/>
    </row>
    <row r="139" spans="1:20" s="15" customFormat="1" ht="26.25" customHeight="1" x14ac:dyDescent="0.2">
      <c r="A139" s="43" t="s">
        <v>445</v>
      </c>
      <c r="B139" s="46" t="s">
        <v>19</v>
      </c>
      <c r="C139" s="44" t="s">
        <v>451</v>
      </c>
      <c r="D139" s="47">
        <v>13534</v>
      </c>
      <c r="E139" s="46" t="s">
        <v>457</v>
      </c>
      <c r="F139" s="35">
        <v>65525</v>
      </c>
      <c r="G139" s="35">
        <v>65525</v>
      </c>
      <c r="H139" s="35">
        <v>0</v>
      </c>
      <c r="I139" s="35">
        <f t="shared" si="5"/>
        <v>65525</v>
      </c>
      <c r="J139" s="36">
        <f t="shared" si="6"/>
        <v>0</v>
      </c>
      <c r="K139" s="48" t="s">
        <v>14</v>
      </c>
      <c r="L139" s="48" t="s">
        <v>14</v>
      </c>
      <c r="M139" s="38">
        <v>42704</v>
      </c>
      <c r="N139" s="48"/>
      <c r="O139" s="35">
        <v>65525</v>
      </c>
      <c r="P139" s="35"/>
      <c r="Q139" s="35"/>
      <c r="R139" s="35"/>
      <c r="S139" s="58"/>
      <c r="T139" s="58"/>
    </row>
    <row r="140" spans="1:20" s="15" customFormat="1" ht="26.25" customHeight="1" x14ac:dyDescent="0.2">
      <c r="A140" s="43" t="s">
        <v>446</v>
      </c>
      <c r="B140" s="46" t="s">
        <v>21</v>
      </c>
      <c r="C140" s="44" t="s">
        <v>452</v>
      </c>
      <c r="D140" s="47">
        <v>13548</v>
      </c>
      <c r="E140" s="46" t="s">
        <v>458</v>
      </c>
      <c r="F140" s="35">
        <v>54400</v>
      </c>
      <c r="G140" s="35">
        <v>54400</v>
      </c>
      <c r="H140" s="35">
        <v>0</v>
      </c>
      <c r="I140" s="35">
        <f t="shared" si="5"/>
        <v>54400</v>
      </c>
      <c r="J140" s="36">
        <f t="shared" si="6"/>
        <v>0</v>
      </c>
      <c r="K140" s="48" t="s">
        <v>15</v>
      </c>
      <c r="L140" s="48" t="s">
        <v>14</v>
      </c>
      <c r="M140" s="38">
        <v>43069</v>
      </c>
      <c r="N140" s="48"/>
      <c r="O140" s="35">
        <v>54400</v>
      </c>
      <c r="P140" s="35"/>
      <c r="Q140" s="35"/>
      <c r="R140" s="35"/>
      <c r="S140" s="58"/>
      <c r="T140" s="58"/>
    </row>
    <row r="141" spans="1:20" s="15" customFormat="1" ht="26.25" customHeight="1" x14ac:dyDescent="0.2">
      <c r="A141" s="43" t="s">
        <v>447</v>
      </c>
      <c r="B141" s="46" t="s">
        <v>19</v>
      </c>
      <c r="C141" s="44" t="s">
        <v>453</v>
      </c>
      <c r="D141" s="47">
        <v>13551</v>
      </c>
      <c r="E141" s="46" t="s">
        <v>457</v>
      </c>
      <c r="F141" s="35">
        <v>86230</v>
      </c>
      <c r="G141" s="35">
        <v>86230</v>
      </c>
      <c r="H141" s="35">
        <v>0</v>
      </c>
      <c r="I141" s="35">
        <f t="shared" si="5"/>
        <v>86230</v>
      </c>
      <c r="J141" s="36">
        <f t="shared" si="6"/>
        <v>0</v>
      </c>
      <c r="K141" s="48" t="s">
        <v>14</v>
      </c>
      <c r="L141" s="48" t="s">
        <v>14</v>
      </c>
      <c r="M141" s="38">
        <v>42704</v>
      </c>
      <c r="N141" s="48"/>
      <c r="O141" s="35">
        <v>86230</v>
      </c>
      <c r="P141" s="35"/>
      <c r="Q141" s="35"/>
      <c r="R141" s="35"/>
      <c r="S141" s="58"/>
      <c r="T141" s="58"/>
    </row>
    <row r="142" spans="1:20" s="15" customFormat="1" ht="26.25" customHeight="1" x14ac:dyDescent="0.2">
      <c r="A142" s="43" t="s">
        <v>459</v>
      </c>
      <c r="B142" s="46" t="s">
        <v>19</v>
      </c>
      <c r="C142" s="44" t="s">
        <v>34</v>
      </c>
      <c r="D142" s="47">
        <v>13615</v>
      </c>
      <c r="E142" s="46" t="s">
        <v>486</v>
      </c>
      <c r="F142" s="35">
        <v>6485</v>
      </c>
      <c r="G142" s="35">
        <v>6485</v>
      </c>
      <c r="H142" s="35">
        <v>0</v>
      </c>
      <c r="I142" s="35">
        <f t="shared" si="5"/>
        <v>6485</v>
      </c>
      <c r="J142" s="36">
        <f t="shared" si="6"/>
        <v>0</v>
      </c>
      <c r="K142" s="48" t="s">
        <v>14</v>
      </c>
      <c r="L142" s="48" t="s">
        <v>14</v>
      </c>
      <c r="M142" s="38">
        <v>42916</v>
      </c>
      <c r="N142" s="48"/>
      <c r="O142" s="35">
        <v>6485</v>
      </c>
      <c r="P142" s="35"/>
      <c r="Q142" s="35"/>
      <c r="R142" s="35"/>
      <c r="S142" s="58"/>
      <c r="T142" s="58"/>
    </row>
    <row r="143" spans="1:20" s="15" customFormat="1" ht="26.25" customHeight="1" x14ac:dyDescent="0.2">
      <c r="A143" s="43" t="s">
        <v>460</v>
      </c>
      <c r="B143" s="46" t="s">
        <v>19</v>
      </c>
      <c r="C143" s="44" t="s">
        <v>475</v>
      </c>
      <c r="D143" s="47">
        <v>13614</v>
      </c>
      <c r="E143" s="46" t="s">
        <v>487</v>
      </c>
      <c r="F143" s="35">
        <v>15000</v>
      </c>
      <c r="G143" s="35">
        <v>15000</v>
      </c>
      <c r="H143" s="35">
        <v>0</v>
      </c>
      <c r="I143" s="35">
        <f t="shared" si="5"/>
        <v>15000</v>
      </c>
      <c r="J143" s="36">
        <f t="shared" si="6"/>
        <v>0</v>
      </c>
      <c r="K143" s="48" t="s">
        <v>14</v>
      </c>
      <c r="L143" s="48" t="s">
        <v>14</v>
      </c>
      <c r="M143" s="38">
        <v>42916</v>
      </c>
      <c r="N143" s="48"/>
      <c r="O143" s="35">
        <v>15000</v>
      </c>
      <c r="P143" s="35"/>
      <c r="Q143" s="35"/>
      <c r="R143" s="35"/>
      <c r="S143" s="58"/>
      <c r="T143" s="58"/>
    </row>
    <row r="144" spans="1:20" s="15" customFormat="1" ht="26.25" customHeight="1" x14ac:dyDescent="0.2">
      <c r="A144" s="43" t="s">
        <v>461</v>
      </c>
      <c r="B144" s="46" t="s">
        <v>69</v>
      </c>
      <c r="C144" s="44" t="s">
        <v>476</v>
      </c>
      <c r="D144" s="47">
        <v>13606</v>
      </c>
      <c r="E144" s="46" t="s">
        <v>488</v>
      </c>
      <c r="F144" s="35">
        <v>20940</v>
      </c>
      <c r="G144" s="35">
        <v>40000</v>
      </c>
      <c r="H144" s="35">
        <v>20940</v>
      </c>
      <c r="I144" s="35">
        <f t="shared" si="5"/>
        <v>60940</v>
      </c>
      <c r="J144" s="36">
        <f t="shared" si="6"/>
        <v>0.52349999999999997</v>
      </c>
      <c r="K144" s="48" t="s">
        <v>14</v>
      </c>
      <c r="L144" s="48" t="s">
        <v>14</v>
      </c>
      <c r="M144" s="38">
        <v>42886</v>
      </c>
      <c r="N144" s="48" t="s">
        <v>28</v>
      </c>
      <c r="O144" s="35">
        <v>20940</v>
      </c>
      <c r="P144" s="35"/>
      <c r="Q144" s="35"/>
      <c r="R144" s="35"/>
      <c r="S144" s="58"/>
      <c r="T144" s="58"/>
    </row>
    <row r="145" spans="1:20" s="15" customFormat="1" ht="26.25" customHeight="1" x14ac:dyDescent="0.2">
      <c r="A145" s="43" t="s">
        <v>462</v>
      </c>
      <c r="B145" s="46" t="s">
        <v>19</v>
      </c>
      <c r="C145" s="44" t="s">
        <v>477</v>
      </c>
      <c r="D145" s="47">
        <v>13570</v>
      </c>
      <c r="E145" s="46" t="s">
        <v>489</v>
      </c>
      <c r="F145" s="35">
        <v>6621</v>
      </c>
      <c r="G145" s="35">
        <v>6621</v>
      </c>
      <c r="H145" s="35">
        <v>0</v>
      </c>
      <c r="I145" s="35">
        <f t="shared" si="5"/>
        <v>6621</v>
      </c>
      <c r="J145" s="36">
        <f t="shared" si="6"/>
        <v>0</v>
      </c>
      <c r="K145" s="48" t="s">
        <v>14</v>
      </c>
      <c r="L145" s="48" t="s">
        <v>14</v>
      </c>
      <c r="M145" s="38">
        <v>42916</v>
      </c>
      <c r="N145" s="48"/>
      <c r="O145" s="35">
        <v>6621</v>
      </c>
      <c r="P145" s="35"/>
      <c r="Q145" s="35"/>
      <c r="R145" s="35"/>
      <c r="S145" s="58"/>
      <c r="T145" s="58"/>
    </row>
    <row r="146" spans="1:20" s="15" customFormat="1" ht="26.25" customHeight="1" x14ac:dyDescent="0.2">
      <c r="A146" s="43" t="s">
        <v>463</v>
      </c>
      <c r="B146" s="46" t="s">
        <v>62</v>
      </c>
      <c r="C146" s="44" t="s">
        <v>478</v>
      </c>
      <c r="D146" s="47">
        <v>13560</v>
      </c>
      <c r="E146" s="46" t="s">
        <v>490</v>
      </c>
      <c r="F146" s="35">
        <v>12500</v>
      </c>
      <c r="G146" s="35">
        <v>12500</v>
      </c>
      <c r="H146" s="35">
        <v>0</v>
      </c>
      <c r="I146" s="35">
        <f t="shared" si="5"/>
        <v>12500</v>
      </c>
      <c r="J146" s="36">
        <f t="shared" si="6"/>
        <v>0</v>
      </c>
      <c r="K146" s="48" t="s">
        <v>14</v>
      </c>
      <c r="L146" s="48" t="s">
        <v>15</v>
      </c>
      <c r="M146" s="38">
        <v>42916</v>
      </c>
      <c r="N146" s="48"/>
      <c r="O146" s="35">
        <v>12500</v>
      </c>
      <c r="P146" s="35"/>
      <c r="Q146" s="35"/>
      <c r="R146" s="35"/>
      <c r="S146" s="58"/>
      <c r="T146" s="58"/>
    </row>
    <row r="147" spans="1:20" s="15" customFormat="1" ht="26.25" customHeight="1" x14ac:dyDescent="0.2">
      <c r="A147" s="43" t="s">
        <v>464</v>
      </c>
      <c r="B147" s="46" t="s">
        <v>19</v>
      </c>
      <c r="C147" s="44" t="s">
        <v>46</v>
      </c>
      <c r="D147" s="47">
        <v>13557</v>
      </c>
      <c r="E147" s="46" t="s">
        <v>457</v>
      </c>
      <c r="F147" s="35">
        <v>28350</v>
      </c>
      <c r="G147" s="35">
        <v>28350</v>
      </c>
      <c r="H147" s="35">
        <v>0</v>
      </c>
      <c r="I147" s="35">
        <f t="shared" si="5"/>
        <v>28350</v>
      </c>
      <c r="J147" s="36">
        <f t="shared" si="6"/>
        <v>0</v>
      </c>
      <c r="K147" s="48" t="s">
        <v>14</v>
      </c>
      <c r="L147" s="48" t="s">
        <v>14</v>
      </c>
      <c r="M147" s="38">
        <v>42704</v>
      </c>
      <c r="N147" s="48"/>
      <c r="O147" s="35">
        <v>28350</v>
      </c>
      <c r="P147" s="35"/>
      <c r="Q147" s="35"/>
      <c r="R147" s="35"/>
      <c r="S147" s="58"/>
      <c r="T147" s="58"/>
    </row>
    <row r="148" spans="1:20" s="15" customFormat="1" ht="26.25" customHeight="1" x14ac:dyDescent="0.2">
      <c r="A148" s="43" t="s">
        <v>465</v>
      </c>
      <c r="B148" s="46" t="s">
        <v>92</v>
      </c>
      <c r="C148" s="44" t="s">
        <v>126</v>
      </c>
      <c r="D148" s="47">
        <v>13553</v>
      </c>
      <c r="E148" s="46" t="s">
        <v>491</v>
      </c>
      <c r="F148" s="35">
        <v>9958</v>
      </c>
      <c r="G148" s="35">
        <v>9958</v>
      </c>
      <c r="H148" s="35">
        <v>0</v>
      </c>
      <c r="I148" s="35">
        <f t="shared" si="5"/>
        <v>9958</v>
      </c>
      <c r="J148" s="36">
        <f t="shared" si="6"/>
        <v>0</v>
      </c>
      <c r="K148" s="48" t="s">
        <v>14</v>
      </c>
      <c r="L148" s="48" t="s">
        <v>14</v>
      </c>
      <c r="M148" s="38">
        <v>42916</v>
      </c>
      <c r="N148" s="48"/>
      <c r="O148" s="35">
        <v>9958</v>
      </c>
      <c r="P148" s="35"/>
      <c r="Q148" s="35"/>
      <c r="R148" s="35"/>
      <c r="S148" s="58"/>
      <c r="T148" s="58"/>
    </row>
    <row r="149" spans="1:20" s="15" customFormat="1" ht="26.25" customHeight="1" x14ac:dyDescent="0.2">
      <c r="A149" s="43" t="s">
        <v>466</v>
      </c>
      <c r="B149" s="46" t="s">
        <v>92</v>
      </c>
      <c r="C149" s="44" t="s">
        <v>479</v>
      </c>
      <c r="D149" s="47">
        <v>13552</v>
      </c>
      <c r="E149" s="46" t="s">
        <v>492</v>
      </c>
      <c r="F149" s="35">
        <v>7230</v>
      </c>
      <c r="G149" s="35">
        <v>7230</v>
      </c>
      <c r="H149" s="35">
        <v>0</v>
      </c>
      <c r="I149" s="35">
        <f t="shared" si="5"/>
        <v>7230</v>
      </c>
      <c r="J149" s="36">
        <f t="shared" si="6"/>
        <v>0</v>
      </c>
      <c r="K149" s="48" t="s">
        <v>14</v>
      </c>
      <c r="L149" s="48" t="s">
        <v>14</v>
      </c>
      <c r="M149" s="38">
        <v>42916</v>
      </c>
      <c r="N149" s="48"/>
      <c r="O149" s="35">
        <v>7230</v>
      </c>
      <c r="P149" s="35"/>
      <c r="Q149" s="35"/>
      <c r="R149" s="35"/>
      <c r="S149" s="58"/>
      <c r="T149" s="58"/>
    </row>
    <row r="150" spans="1:20" s="15" customFormat="1" ht="26.25" customHeight="1" x14ac:dyDescent="0.2">
      <c r="A150" s="43" t="s">
        <v>467</v>
      </c>
      <c r="B150" s="46" t="s">
        <v>92</v>
      </c>
      <c r="C150" s="44" t="s">
        <v>43</v>
      </c>
      <c r="D150" s="47">
        <v>13538</v>
      </c>
      <c r="E150" s="46" t="s">
        <v>493</v>
      </c>
      <c r="F150" s="35">
        <v>6713</v>
      </c>
      <c r="G150" s="35">
        <v>6713</v>
      </c>
      <c r="H150" s="35">
        <v>0</v>
      </c>
      <c r="I150" s="35">
        <f t="shared" ref="I150:I196" si="7">G150+H150</f>
        <v>6713</v>
      </c>
      <c r="J150" s="36">
        <f t="shared" ref="J150:J196" si="8">IF(G150=0,100%,(I150-G150)/G150)</f>
        <v>0</v>
      </c>
      <c r="K150" s="48" t="s">
        <v>14</v>
      </c>
      <c r="L150" s="48" t="s">
        <v>15</v>
      </c>
      <c r="M150" s="38">
        <v>42916</v>
      </c>
      <c r="N150" s="48"/>
      <c r="O150" s="35">
        <v>6713</v>
      </c>
      <c r="P150" s="35"/>
      <c r="Q150" s="35"/>
      <c r="R150" s="35"/>
      <c r="S150" s="58"/>
      <c r="T150" s="58"/>
    </row>
    <row r="151" spans="1:20" s="15" customFormat="1" ht="26.25" customHeight="1" x14ac:dyDescent="0.2">
      <c r="A151" s="43" t="s">
        <v>468</v>
      </c>
      <c r="B151" s="46" t="s">
        <v>474</v>
      </c>
      <c r="C151" s="44" t="s">
        <v>480</v>
      </c>
      <c r="D151" s="47">
        <v>13521</v>
      </c>
      <c r="E151" s="46" t="s">
        <v>494</v>
      </c>
      <c r="F151" s="35">
        <v>49900</v>
      </c>
      <c r="G151" s="35">
        <v>49900</v>
      </c>
      <c r="H151" s="35">
        <v>0</v>
      </c>
      <c r="I151" s="35">
        <f t="shared" si="7"/>
        <v>49900</v>
      </c>
      <c r="J151" s="36">
        <f t="shared" si="8"/>
        <v>0</v>
      </c>
      <c r="K151" s="48" t="s">
        <v>14</v>
      </c>
      <c r="L151" s="48" t="s">
        <v>15</v>
      </c>
      <c r="M151" s="38">
        <v>43069</v>
      </c>
      <c r="N151" s="48"/>
      <c r="O151" s="35">
        <v>49900</v>
      </c>
      <c r="P151" s="35"/>
      <c r="Q151" s="35"/>
      <c r="R151" s="35"/>
      <c r="S151" s="58"/>
      <c r="T151" s="58"/>
    </row>
    <row r="152" spans="1:20" s="15" customFormat="1" ht="26.25" customHeight="1" x14ac:dyDescent="0.2">
      <c r="A152" s="43" t="s">
        <v>469</v>
      </c>
      <c r="B152" s="46" t="s">
        <v>21</v>
      </c>
      <c r="C152" s="44" t="s">
        <v>481</v>
      </c>
      <c r="D152" s="47">
        <v>13517</v>
      </c>
      <c r="E152" s="46" t="s">
        <v>495</v>
      </c>
      <c r="F152" s="35">
        <v>6000</v>
      </c>
      <c r="G152" s="35">
        <v>6000</v>
      </c>
      <c r="H152" s="35">
        <v>0</v>
      </c>
      <c r="I152" s="35">
        <f t="shared" si="7"/>
        <v>6000</v>
      </c>
      <c r="J152" s="36">
        <f t="shared" si="8"/>
        <v>0</v>
      </c>
      <c r="K152" s="48" t="s">
        <v>14</v>
      </c>
      <c r="L152" s="48" t="s">
        <v>14</v>
      </c>
      <c r="M152" s="38">
        <v>42916</v>
      </c>
      <c r="N152" s="48"/>
      <c r="O152" s="35">
        <v>6000</v>
      </c>
      <c r="P152" s="35"/>
      <c r="Q152" s="35"/>
      <c r="R152" s="35"/>
      <c r="S152" s="58"/>
      <c r="T152" s="58"/>
    </row>
    <row r="153" spans="1:20" s="15" customFormat="1" ht="26.25" customHeight="1" x14ac:dyDescent="0.2">
      <c r="A153" s="43" t="s">
        <v>470</v>
      </c>
      <c r="B153" s="46" t="s">
        <v>26</v>
      </c>
      <c r="C153" s="44" t="s">
        <v>482</v>
      </c>
      <c r="D153" s="47">
        <v>13494</v>
      </c>
      <c r="E153" s="46" t="s">
        <v>496</v>
      </c>
      <c r="F153" s="35">
        <v>30000</v>
      </c>
      <c r="G153" s="35">
        <v>30000</v>
      </c>
      <c r="H153" s="35">
        <v>0</v>
      </c>
      <c r="I153" s="35">
        <f t="shared" si="7"/>
        <v>30000</v>
      </c>
      <c r="J153" s="36">
        <f t="shared" si="8"/>
        <v>0</v>
      </c>
      <c r="K153" s="48" t="s">
        <v>14</v>
      </c>
      <c r="L153" s="48" t="s">
        <v>14</v>
      </c>
      <c r="M153" s="38">
        <v>42916</v>
      </c>
      <c r="N153" s="48"/>
      <c r="O153" s="35">
        <v>30000</v>
      </c>
      <c r="P153" s="35"/>
      <c r="Q153" s="35"/>
      <c r="R153" s="35"/>
      <c r="S153" s="58"/>
      <c r="T153" s="58"/>
    </row>
    <row r="154" spans="1:20" s="15" customFormat="1" ht="26.25" customHeight="1" x14ac:dyDescent="0.2">
      <c r="A154" s="43" t="s">
        <v>471</v>
      </c>
      <c r="B154" s="46" t="s">
        <v>30</v>
      </c>
      <c r="C154" s="44" t="s">
        <v>483</v>
      </c>
      <c r="D154" s="47">
        <v>13488</v>
      </c>
      <c r="E154" s="46" t="s">
        <v>497</v>
      </c>
      <c r="F154" s="35">
        <v>13100</v>
      </c>
      <c r="G154" s="35">
        <v>13100</v>
      </c>
      <c r="H154" s="35">
        <v>0</v>
      </c>
      <c r="I154" s="35">
        <f t="shared" si="7"/>
        <v>13100</v>
      </c>
      <c r="J154" s="36">
        <f t="shared" si="8"/>
        <v>0</v>
      </c>
      <c r="K154" s="48" t="s">
        <v>14</v>
      </c>
      <c r="L154" s="48" t="s">
        <v>14</v>
      </c>
      <c r="M154" s="38">
        <v>43392</v>
      </c>
      <c r="N154" s="48"/>
      <c r="O154" s="49">
        <v>13100</v>
      </c>
      <c r="P154" s="35"/>
      <c r="Q154" s="35"/>
      <c r="R154" s="35"/>
      <c r="S154" s="58"/>
      <c r="T154" s="58"/>
    </row>
    <row r="155" spans="1:20" s="15" customFormat="1" ht="26.25" customHeight="1" x14ac:dyDescent="0.2">
      <c r="A155" s="43" t="s">
        <v>472</v>
      </c>
      <c r="B155" s="46" t="s">
        <v>21</v>
      </c>
      <c r="C155" s="44" t="s">
        <v>484</v>
      </c>
      <c r="D155" s="47">
        <v>12548</v>
      </c>
      <c r="E155" s="46" t="s">
        <v>498</v>
      </c>
      <c r="F155" s="35">
        <v>28300</v>
      </c>
      <c r="G155" s="35">
        <v>28300</v>
      </c>
      <c r="H155" s="35">
        <v>0</v>
      </c>
      <c r="I155" s="35">
        <f t="shared" si="7"/>
        <v>28300</v>
      </c>
      <c r="J155" s="36">
        <f t="shared" si="8"/>
        <v>0</v>
      </c>
      <c r="K155" s="48" t="s">
        <v>15</v>
      </c>
      <c r="L155" s="48" t="s">
        <v>14</v>
      </c>
      <c r="M155" s="38">
        <v>42861</v>
      </c>
      <c r="N155" s="48"/>
      <c r="O155" s="35">
        <v>28300</v>
      </c>
      <c r="P155" s="35"/>
      <c r="Q155" s="35"/>
      <c r="R155" s="35"/>
      <c r="S155" s="58"/>
      <c r="T155" s="58"/>
    </row>
    <row r="156" spans="1:20" s="15" customFormat="1" ht="26.25" customHeight="1" x14ac:dyDescent="0.2">
      <c r="A156" s="43" t="s">
        <v>473</v>
      </c>
      <c r="B156" s="46" t="s">
        <v>214</v>
      </c>
      <c r="C156" s="44" t="s">
        <v>485</v>
      </c>
      <c r="D156" s="47">
        <v>13619</v>
      </c>
      <c r="E156" s="46" t="s">
        <v>499</v>
      </c>
      <c r="F156" s="35">
        <f>21840*3</f>
        <v>65520</v>
      </c>
      <c r="G156" s="35">
        <f>21840*3</f>
        <v>65520</v>
      </c>
      <c r="H156" s="35">
        <v>0</v>
      </c>
      <c r="I156" s="35">
        <f t="shared" si="7"/>
        <v>65520</v>
      </c>
      <c r="J156" s="36">
        <f t="shared" si="8"/>
        <v>0</v>
      </c>
      <c r="K156" s="48" t="s">
        <v>15</v>
      </c>
      <c r="L156" s="48" t="s">
        <v>15</v>
      </c>
      <c r="M156" s="38">
        <v>43070</v>
      </c>
      <c r="N156" s="48" t="s">
        <v>18</v>
      </c>
      <c r="O156" s="35">
        <v>21840</v>
      </c>
      <c r="P156" s="35">
        <v>21840</v>
      </c>
      <c r="Q156" s="35">
        <v>21840</v>
      </c>
      <c r="R156" s="35"/>
      <c r="S156" s="58"/>
      <c r="T156" s="58"/>
    </row>
    <row r="157" spans="1:20" s="15" customFormat="1" ht="26.25" customHeight="1" x14ac:dyDescent="0.2">
      <c r="A157" s="43" t="s">
        <v>500</v>
      </c>
      <c r="B157" s="46" t="s">
        <v>69</v>
      </c>
      <c r="C157" s="44" t="s">
        <v>507</v>
      </c>
      <c r="D157" s="47">
        <v>13665</v>
      </c>
      <c r="E157" s="46" t="s">
        <v>514</v>
      </c>
      <c r="F157" s="35">
        <f>98400+99000+99000</f>
        <v>296400</v>
      </c>
      <c r="G157" s="35">
        <f>98400+99000+99000</f>
        <v>296400</v>
      </c>
      <c r="H157" s="35">
        <v>0</v>
      </c>
      <c r="I157" s="35">
        <f t="shared" si="7"/>
        <v>296400</v>
      </c>
      <c r="J157" s="36">
        <f t="shared" si="8"/>
        <v>0</v>
      </c>
      <c r="K157" s="48" t="s">
        <v>14</v>
      </c>
      <c r="L157" s="48" t="s">
        <v>14</v>
      </c>
      <c r="M157" s="38">
        <v>43037</v>
      </c>
      <c r="N157" s="48" t="s">
        <v>18</v>
      </c>
      <c r="O157" s="35">
        <v>98400</v>
      </c>
      <c r="P157" s="35">
        <v>99000</v>
      </c>
      <c r="Q157" s="35">
        <v>99000</v>
      </c>
      <c r="R157" s="35"/>
      <c r="S157" s="58"/>
      <c r="T157" s="58"/>
    </row>
    <row r="158" spans="1:20" s="15" customFormat="1" ht="26.25" customHeight="1" x14ac:dyDescent="0.2">
      <c r="A158" s="43" t="s">
        <v>501</v>
      </c>
      <c r="B158" s="46" t="s">
        <v>17</v>
      </c>
      <c r="C158" s="44" t="s">
        <v>508</v>
      </c>
      <c r="D158" s="47">
        <v>13643</v>
      </c>
      <c r="E158" s="46" t="s">
        <v>515</v>
      </c>
      <c r="F158" s="35">
        <f>62525*3</f>
        <v>187575</v>
      </c>
      <c r="G158" s="35">
        <f>62525*3</f>
        <v>187575</v>
      </c>
      <c r="H158" s="35">
        <v>0</v>
      </c>
      <c r="I158" s="35">
        <f t="shared" si="7"/>
        <v>187575</v>
      </c>
      <c r="J158" s="36">
        <f t="shared" si="8"/>
        <v>0</v>
      </c>
      <c r="K158" s="48" t="s">
        <v>14</v>
      </c>
      <c r="L158" s="48" t="s">
        <v>14</v>
      </c>
      <c r="M158" s="38">
        <v>42916</v>
      </c>
      <c r="N158" s="48" t="s">
        <v>18</v>
      </c>
      <c r="O158" s="35">
        <v>62525</v>
      </c>
      <c r="P158" s="35">
        <v>62525</v>
      </c>
      <c r="Q158" s="35">
        <v>62525</v>
      </c>
      <c r="R158" s="35"/>
      <c r="S158" s="58"/>
      <c r="T158" s="58"/>
    </row>
    <row r="159" spans="1:20" s="15" customFormat="1" ht="26.25" customHeight="1" x14ac:dyDescent="0.2">
      <c r="A159" s="43" t="s">
        <v>502</v>
      </c>
      <c r="B159" s="46" t="s">
        <v>30</v>
      </c>
      <c r="C159" s="44" t="s">
        <v>509</v>
      </c>
      <c r="D159" s="47">
        <v>13626</v>
      </c>
      <c r="E159" s="46" t="s">
        <v>516</v>
      </c>
      <c r="F159" s="35">
        <v>45900</v>
      </c>
      <c r="G159" s="35">
        <v>25500</v>
      </c>
      <c r="H159" s="35">
        <v>45900</v>
      </c>
      <c r="I159" s="35">
        <f t="shared" si="7"/>
        <v>71400</v>
      </c>
      <c r="J159" s="36">
        <f t="shared" si="8"/>
        <v>1.8</v>
      </c>
      <c r="K159" s="48" t="s">
        <v>14</v>
      </c>
      <c r="L159" s="48" t="s">
        <v>14</v>
      </c>
      <c r="M159" s="38">
        <v>42906</v>
      </c>
      <c r="N159" s="48" t="s">
        <v>28</v>
      </c>
      <c r="O159" s="35">
        <v>45900</v>
      </c>
      <c r="P159" s="35"/>
      <c r="Q159" s="35"/>
      <c r="R159" s="35"/>
      <c r="S159" s="58"/>
      <c r="T159" s="58"/>
    </row>
    <row r="160" spans="1:20" s="15" customFormat="1" ht="26.25" customHeight="1" x14ac:dyDescent="0.2">
      <c r="A160" s="43" t="s">
        <v>503</v>
      </c>
      <c r="B160" s="46" t="s">
        <v>69</v>
      </c>
      <c r="C160" s="44" t="s">
        <v>510</v>
      </c>
      <c r="D160" s="47">
        <v>13581</v>
      </c>
      <c r="E160" s="46" t="s">
        <v>518</v>
      </c>
      <c r="F160" s="35">
        <v>54000</v>
      </c>
      <c r="G160" s="35">
        <v>45000</v>
      </c>
      <c r="H160" s="35">
        <v>54000</v>
      </c>
      <c r="I160" s="35">
        <f t="shared" si="7"/>
        <v>99000</v>
      </c>
      <c r="J160" s="36">
        <f t="shared" si="8"/>
        <v>1.2</v>
      </c>
      <c r="K160" s="48" t="s">
        <v>14</v>
      </c>
      <c r="L160" s="48" t="s">
        <v>14</v>
      </c>
      <c r="M160" s="38">
        <v>42916</v>
      </c>
      <c r="N160" s="48" t="s">
        <v>28</v>
      </c>
      <c r="O160" s="35">
        <v>54000</v>
      </c>
      <c r="P160" s="35"/>
      <c r="Q160" s="35"/>
      <c r="R160" s="35"/>
      <c r="S160" s="58"/>
      <c r="T160" s="58"/>
    </row>
    <row r="161" spans="1:20" s="15" customFormat="1" ht="26.25" customHeight="1" x14ac:dyDescent="0.2">
      <c r="A161" s="43" t="s">
        <v>504</v>
      </c>
      <c r="B161" s="46" t="s">
        <v>21</v>
      </c>
      <c r="C161" s="44" t="s">
        <v>511</v>
      </c>
      <c r="D161" s="47">
        <v>13574</v>
      </c>
      <c r="E161" s="46" t="s">
        <v>517</v>
      </c>
      <c r="F161" s="35">
        <f>99000*3</f>
        <v>297000</v>
      </c>
      <c r="G161" s="35">
        <f>99000*3</f>
        <v>297000</v>
      </c>
      <c r="H161" s="35">
        <v>0</v>
      </c>
      <c r="I161" s="35">
        <f t="shared" si="7"/>
        <v>297000</v>
      </c>
      <c r="J161" s="36">
        <f t="shared" si="8"/>
        <v>0</v>
      </c>
      <c r="K161" s="48" t="s">
        <v>14</v>
      </c>
      <c r="L161" s="48" t="s">
        <v>14</v>
      </c>
      <c r="M161" s="38">
        <v>42916</v>
      </c>
      <c r="N161" s="48" t="s">
        <v>18</v>
      </c>
      <c r="O161" s="35">
        <v>99000</v>
      </c>
      <c r="P161" s="35">
        <v>99000</v>
      </c>
      <c r="Q161" s="35">
        <v>99000</v>
      </c>
      <c r="R161" s="35"/>
      <c r="S161" s="58"/>
      <c r="T161" s="58"/>
    </row>
    <row r="162" spans="1:20" s="15" customFormat="1" ht="26.25" customHeight="1" x14ac:dyDescent="0.2">
      <c r="A162" s="43" t="s">
        <v>505</v>
      </c>
      <c r="B162" s="46" t="s">
        <v>21</v>
      </c>
      <c r="C162" s="44" t="s">
        <v>512</v>
      </c>
      <c r="D162" s="47">
        <v>13536</v>
      </c>
      <c r="E162" s="46" t="s">
        <v>519</v>
      </c>
      <c r="F162" s="35">
        <f>95000*3</f>
        <v>285000</v>
      </c>
      <c r="G162" s="35">
        <f>95000*3</f>
        <v>285000</v>
      </c>
      <c r="H162" s="35">
        <v>0</v>
      </c>
      <c r="I162" s="35">
        <f t="shared" si="7"/>
        <v>285000</v>
      </c>
      <c r="J162" s="36">
        <f t="shared" si="8"/>
        <v>0</v>
      </c>
      <c r="K162" s="48" t="s">
        <v>14</v>
      </c>
      <c r="L162" s="48" t="s">
        <v>14</v>
      </c>
      <c r="M162" s="38">
        <v>42916</v>
      </c>
      <c r="N162" s="48" t="s">
        <v>18</v>
      </c>
      <c r="O162" s="35">
        <v>95000</v>
      </c>
      <c r="P162" s="35">
        <v>95000</v>
      </c>
      <c r="Q162" s="35">
        <v>95000</v>
      </c>
      <c r="R162" s="35"/>
      <c r="S162" s="58"/>
      <c r="T162" s="58"/>
    </row>
    <row r="163" spans="1:20" s="15" customFormat="1" ht="26.25" customHeight="1" x14ac:dyDescent="0.2">
      <c r="A163" s="43" t="s">
        <v>506</v>
      </c>
      <c r="B163" s="46" t="s">
        <v>21</v>
      </c>
      <c r="C163" s="44" t="s">
        <v>513</v>
      </c>
      <c r="D163" s="47">
        <v>13535</v>
      </c>
      <c r="E163" s="46" t="s">
        <v>519</v>
      </c>
      <c r="F163" s="35">
        <f>95000*3</f>
        <v>285000</v>
      </c>
      <c r="G163" s="35">
        <f>95000*3</f>
        <v>285000</v>
      </c>
      <c r="H163" s="35">
        <v>0</v>
      </c>
      <c r="I163" s="35">
        <f t="shared" si="7"/>
        <v>285000</v>
      </c>
      <c r="J163" s="36">
        <f t="shared" si="8"/>
        <v>0</v>
      </c>
      <c r="K163" s="48" t="s">
        <v>14</v>
      </c>
      <c r="L163" s="48" t="s">
        <v>14</v>
      </c>
      <c r="M163" s="38">
        <v>42916</v>
      </c>
      <c r="N163" s="48" t="s">
        <v>18</v>
      </c>
      <c r="O163" s="35">
        <v>95000</v>
      </c>
      <c r="P163" s="35">
        <v>95000</v>
      </c>
      <c r="Q163" s="35">
        <v>95000</v>
      </c>
      <c r="R163" s="35"/>
      <c r="S163" s="58"/>
      <c r="T163" s="58"/>
    </row>
    <row r="164" spans="1:20" s="15" customFormat="1" ht="26.25" customHeight="1" x14ac:dyDescent="0.2">
      <c r="A164" s="43" t="s">
        <v>520</v>
      </c>
      <c r="B164" s="46" t="s">
        <v>36</v>
      </c>
      <c r="C164" s="44" t="s">
        <v>528</v>
      </c>
      <c r="D164" s="54" t="s">
        <v>535</v>
      </c>
      <c r="E164" s="46" t="s">
        <v>542</v>
      </c>
      <c r="F164" s="35">
        <f>8138*3</f>
        <v>24414</v>
      </c>
      <c r="G164" s="35">
        <f>8138*3</f>
        <v>24414</v>
      </c>
      <c r="H164" s="35">
        <v>0</v>
      </c>
      <c r="I164" s="35">
        <f t="shared" si="7"/>
        <v>24414</v>
      </c>
      <c r="J164" s="36">
        <f t="shared" si="8"/>
        <v>0</v>
      </c>
      <c r="K164" s="48" t="s">
        <v>14</v>
      </c>
      <c r="L164" s="48" t="s">
        <v>14</v>
      </c>
      <c r="M164" s="38">
        <v>43055</v>
      </c>
      <c r="N164" s="48" t="s">
        <v>18</v>
      </c>
      <c r="O164" s="35">
        <v>8138</v>
      </c>
      <c r="P164" s="35">
        <v>8138</v>
      </c>
      <c r="Q164" s="35">
        <v>8138</v>
      </c>
      <c r="R164" s="35"/>
      <c r="S164" s="58"/>
      <c r="T164" s="58"/>
    </row>
    <row r="165" spans="1:20" s="15" customFormat="1" ht="18" customHeight="1" x14ac:dyDescent="0.2">
      <c r="A165" s="43" t="s">
        <v>521</v>
      </c>
      <c r="B165" s="46" t="s">
        <v>19</v>
      </c>
      <c r="C165" s="44" t="s">
        <v>529</v>
      </c>
      <c r="D165" s="47">
        <v>13658</v>
      </c>
      <c r="E165" s="46" t="s">
        <v>536</v>
      </c>
      <c r="F165" s="35">
        <v>10000</v>
      </c>
      <c r="G165" s="35">
        <v>10000</v>
      </c>
      <c r="H165" s="35">
        <v>0</v>
      </c>
      <c r="I165" s="35">
        <f t="shared" si="7"/>
        <v>10000</v>
      </c>
      <c r="J165" s="36">
        <f t="shared" si="8"/>
        <v>0</v>
      </c>
      <c r="K165" s="48" t="s">
        <v>14</v>
      </c>
      <c r="L165" s="48" t="s">
        <v>14</v>
      </c>
      <c r="M165" s="38">
        <v>43039</v>
      </c>
      <c r="N165" s="48"/>
      <c r="O165" s="35">
        <v>10000</v>
      </c>
      <c r="P165" s="35"/>
      <c r="Q165" s="35"/>
      <c r="R165" s="35"/>
      <c r="S165" s="58"/>
      <c r="T165" s="58"/>
    </row>
    <row r="166" spans="1:20" s="15" customFormat="1" ht="26.25" customHeight="1" x14ac:dyDescent="0.2">
      <c r="A166" s="43" t="s">
        <v>522</v>
      </c>
      <c r="B166" s="46" t="s">
        <v>31</v>
      </c>
      <c r="C166" s="44" t="s">
        <v>530</v>
      </c>
      <c r="D166" s="47">
        <v>13638</v>
      </c>
      <c r="E166" s="46" t="s">
        <v>537</v>
      </c>
      <c r="F166" s="35">
        <v>7000</v>
      </c>
      <c r="G166" s="35">
        <v>7000</v>
      </c>
      <c r="H166" s="35">
        <v>0</v>
      </c>
      <c r="I166" s="35">
        <f t="shared" si="7"/>
        <v>7000</v>
      </c>
      <c r="J166" s="36">
        <f t="shared" si="8"/>
        <v>0</v>
      </c>
      <c r="K166" s="48" t="s">
        <v>14</v>
      </c>
      <c r="L166" s="48" t="s">
        <v>14</v>
      </c>
      <c r="M166" s="38">
        <v>42916</v>
      </c>
      <c r="N166" s="48"/>
      <c r="O166" s="35">
        <v>7000</v>
      </c>
      <c r="P166" s="35"/>
      <c r="Q166" s="35"/>
      <c r="R166" s="35"/>
      <c r="S166" s="58"/>
      <c r="T166" s="58"/>
    </row>
    <row r="167" spans="1:20" s="15" customFormat="1" ht="18" customHeight="1" x14ac:dyDescent="0.2">
      <c r="A167" s="43" t="s">
        <v>523</v>
      </c>
      <c r="B167" s="46" t="s">
        <v>92</v>
      </c>
      <c r="C167" s="44" t="s">
        <v>531</v>
      </c>
      <c r="D167" s="47">
        <v>13636</v>
      </c>
      <c r="E167" s="46" t="s">
        <v>538</v>
      </c>
      <c r="F167" s="35">
        <v>10000</v>
      </c>
      <c r="G167" s="35">
        <v>10000</v>
      </c>
      <c r="H167" s="35">
        <v>0</v>
      </c>
      <c r="I167" s="35">
        <f t="shared" si="7"/>
        <v>10000</v>
      </c>
      <c r="J167" s="36">
        <f t="shared" si="8"/>
        <v>0</v>
      </c>
      <c r="K167" s="48" t="s">
        <v>14</v>
      </c>
      <c r="L167" s="48" t="s">
        <v>14</v>
      </c>
      <c r="M167" s="38">
        <v>42916</v>
      </c>
      <c r="N167" s="48"/>
      <c r="O167" s="35">
        <v>10000</v>
      </c>
      <c r="P167" s="35"/>
      <c r="Q167" s="35"/>
      <c r="R167" s="35"/>
      <c r="S167" s="58"/>
      <c r="T167" s="58"/>
    </row>
    <row r="168" spans="1:20" s="15" customFormat="1" ht="26.25" customHeight="1" x14ac:dyDescent="0.2">
      <c r="A168" s="43" t="s">
        <v>524</v>
      </c>
      <c r="B168" s="46" t="s">
        <v>69</v>
      </c>
      <c r="C168" s="44" t="s">
        <v>532</v>
      </c>
      <c r="D168" s="47">
        <v>13635</v>
      </c>
      <c r="E168" s="46" t="s">
        <v>539</v>
      </c>
      <c r="F168" s="35">
        <f>21495*3</f>
        <v>64485</v>
      </c>
      <c r="G168" s="35">
        <f>21495*3</f>
        <v>64485</v>
      </c>
      <c r="H168" s="35">
        <v>0</v>
      </c>
      <c r="I168" s="35">
        <f t="shared" si="7"/>
        <v>64485</v>
      </c>
      <c r="J168" s="36">
        <f t="shared" si="8"/>
        <v>0</v>
      </c>
      <c r="K168" s="48" t="s">
        <v>14</v>
      </c>
      <c r="L168" s="48" t="s">
        <v>14</v>
      </c>
      <c r="M168" s="38">
        <v>42961</v>
      </c>
      <c r="N168" s="48" t="s">
        <v>18</v>
      </c>
      <c r="O168" s="35">
        <v>21495</v>
      </c>
      <c r="P168" s="35">
        <v>21495</v>
      </c>
      <c r="Q168" s="35">
        <v>21495</v>
      </c>
      <c r="R168" s="35"/>
      <c r="S168" s="58"/>
      <c r="T168" s="58"/>
    </row>
    <row r="169" spans="1:20" s="15" customFormat="1" ht="18" customHeight="1" x14ac:dyDescent="0.2">
      <c r="A169" s="43" t="s">
        <v>525</v>
      </c>
      <c r="B169" s="46" t="s">
        <v>21</v>
      </c>
      <c r="C169" s="44" t="s">
        <v>533</v>
      </c>
      <c r="D169" s="47">
        <v>13559</v>
      </c>
      <c r="E169" s="46" t="s">
        <v>540</v>
      </c>
      <c r="F169" s="35">
        <v>39672</v>
      </c>
      <c r="G169" s="35">
        <v>709650</v>
      </c>
      <c r="H169" s="35">
        <v>39672</v>
      </c>
      <c r="I169" s="35">
        <f t="shared" si="7"/>
        <v>749322</v>
      </c>
      <c r="J169" s="36">
        <f t="shared" si="8"/>
        <v>5.5903614457831326E-2</v>
      </c>
      <c r="K169" s="48" t="s">
        <v>14</v>
      </c>
      <c r="L169" s="48" t="s">
        <v>14</v>
      </c>
      <c r="M169" s="38">
        <v>42485</v>
      </c>
      <c r="N169" s="48" t="s">
        <v>28</v>
      </c>
      <c r="O169" s="35">
        <v>39672</v>
      </c>
      <c r="P169" s="35"/>
      <c r="Q169" s="35"/>
      <c r="R169" s="35"/>
      <c r="S169" s="58"/>
      <c r="T169" s="58"/>
    </row>
    <row r="170" spans="1:20" s="15" customFormat="1" ht="26.25" customHeight="1" x14ac:dyDescent="0.2">
      <c r="A170" s="43" t="s">
        <v>526</v>
      </c>
      <c r="B170" s="46" t="s">
        <v>19</v>
      </c>
      <c r="C170" s="44" t="s">
        <v>128</v>
      </c>
      <c r="D170" s="47">
        <v>13519</v>
      </c>
      <c r="E170" s="46" t="s">
        <v>457</v>
      </c>
      <c r="F170" s="35">
        <v>48039</v>
      </c>
      <c r="G170" s="35">
        <v>48039</v>
      </c>
      <c r="H170" s="35">
        <v>0</v>
      </c>
      <c r="I170" s="35">
        <f t="shared" si="7"/>
        <v>48039</v>
      </c>
      <c r="J170" s="36">
        <f t="shared" si="8"/>
        <v>0</v>
      </c>
      <c r="K170" s="48" t="s">
        <v>14</v>
      </c>
      <c r="L170" s="48" t="s">
        <v>14</v>
      </c>
      <c r="M170" s="38">
        <v>42704</v>
      </c>
      <c r="N170" s="48"/>
      <c r="O170" s="35">
        <v>48039</v>
      </c>
      <c r="P170" s="35"/>
      <c r="Q170" s="35"/>
      <c r="R170" s="35"/>
      <c r="S170" s="58"/>
      <c r="T170" s="58"/>
    </row>
    <row r="171" spans="1:20" s="15" customFormat="1" ht="26.25" customHeight="1" x14ac:dyDescent="0.2">
      <c r="A171" s="43" t="s">
        <v>527</v>
      </c>
      <c r="B171" s="46" t="s">
        <v>62</v>
      </c>
      <c r="C171" s="44" t="s">
        <v>534</v>
      </c>
      <c r="D171" s="47">
        <v>13346</v>
      </c>
      <c r="E171" s="46" t="s">
        <v>541</v>
      </c>
      <c r="F171" s="35">
        <v>24920</v>
      </c>
      <c r="G171" s="35">
        <v>24920</v>
      </c>
      <c r="H171" s="35">
        <v>0</v>
      </c>
      <c r="I171" s="35">
        <f t="shared" si="7"/>
        <v>24920</v>
      </c>
      <c r="J171" s="36">
        <f t="shared" si="8"/>
        <v>0</v>
      </c>
      <c r="K171" s="48" t="s">
        <v>14</v>
      </c>
      <c r="L171" s="48" t="s">
        <v>14</v>
      </c>
      <c r="M171" s="38">
        <v>42916</v>
      </c>
      <c r="N171" s="48"/>
      <c r="O171" s="35">
        <v>24920</v>
      </c>
      <c r="P171" s="35"/>
      <c r="Q171" s="35"/>
      <c r="R171" s="35"/>
      <c r="S171" s="58"/>
      <c r="T171" s="58"/>
    </row>
    <row r="172" spans="1:20" s="15" customFormat="1" ht="26.25" customHeight="1" x14ac:dyDescent="0.2">
      <c r="A172" s="43" t="s">
        <v>543</v>
      </c>
      <c r="B172" s="46" t="s">
        <v>214</v>
      </c>
      <c r="C172" s="44" t="s">
        <v>554</v>
      </c>
      <c r="D172" s="47">
        <v>13641</v>
      </c>
      <c r="E172" s="46" t="s">
        <v>563</v>
      </c>
      <c r="F172" s="35">
        <f>15000*3</f>
        <v>45000</v>
      </c>
      <c r="G172" s="35">
        <f>15000*3</f>
        <v>45000</v>
      </c>
      <c r="H172" s="35">
        <v>0</v>
      </c>
      <c r="I172" s="35">
        <f t="shared" si="7"/>
        <v>45000</v>
      </c>
      <c r="J172" s="36">
        <f t="shared" si="8"/>
        <v>0</v>
      </c>
      <c r="K172" s="48" t="s">
        <v>14</v>
      </c>
      <c r="L172" s="48" t="s">
        <v>15</v>
      </c>
      <c r="M172" s="38">
        <v>43465</v>
      </c>
      <c r="N172" s="48" t="s">
        <v>18</v>
      </c>
      <c r="O172" s="35">
        <v>15000</v>
      </c>
      <c r="P172" s="35">
        <v>15000</v>
      </c>
      <c r="Q172" s="35">
        <v>15000</v>
      </c>
      <c r="R172" s="35"/>
      <c r="S172" s="58"/>
      <c r="T172" s="58"/>
    </row>
    <row r="173" spans="1:20" s="15" customFormat="1" ht="26.25" customHeight="1" x14ac:dyDescent="0.2">
      <c r="A173" s="43" t="s">
        <v>544</v>
      </c>
      <c r="B173" s="46" t="s">
        <v>92</v>
      </c>
      <c r="C173" s="44" t="s">
        <v>555</v>
      </c>
      <c r="D173" s="47">
        <v>13662</v>
      </c>
      <c r="E173" s="46" t="s">
        <v>564</v>
      </c>
      <c r="F173" s="35">
        <v>9800</v>
      </c>
      <c r="G173" s="35">
        <v>9800</v>
      </c>
      <c r="H173" s="35">
        <v>0</v>
      </c>
      <c r="I173" s="35">
        <f t="shared" si="7"/>
        <v>9800</v>
      </c>
      <c r="J173" s="36">
        <f t="shared" si="8"/>
        <v>0</v>
      </c>
      <c r="K173" s="48" t="s">
        <v>14</v>
      </c>
      <c r="L173" s="48" t="s">
        <v>14</v>
      </c>
      <c r="M173" s="38">
        <v>42916</v>
      </c>
      <c r="N173" s="48"/>
      <c r="O173" s="35">
        <v>9800</v>
      </c>
      <c r="P173" s="35"/>
      <c r="Q173" s="35"/>
      <c r="R173" s="35"/>
      <c r="S173" s="58"/>
      <c r="T173" s="58"/>
    </row>
    <row r="174" spans="1:20" s="15" customFormat="1" ht="26.25" customHeight="1" x14ac:dyDescent="0.2">
      <c r="A174" s="43" t="s">
        <v>545</v>
      </c>
      <c r="B174" s="46" t="s">
        <v>21</v>
      </c>
      <c r="C174" s="44" t="s">
        <v>556</v>
      </c>
      <c r="D174" s="47">
        <v>13678</v>
      </c>
      <c r="E174" s="46" t="s">
        <v>565</v>
      </c>
      <c r="F174" s="35">
        <f>25000*3</f>
        <v>75000</v>
      </c>
      <c r="G174" s="35">
        <f>25000*3</f>
        <v>75000</v>
      </c>
      <c r="H174" s="35">
        <v>0</v>
      </c>
      <c r="I174" s="35">
        <f t="shared" si="7"/>
        <v>75000</v>
      </c>
      <c r="J174" s="36">
        <f t="shared" si="8"/>
        <v>0</v>
      </c>
      <c r="K174" s="48" t="s">
        <v>14</v>
      </c>
      <c r="L174" s="48" t="s">
        <v>15</v>
      </c>
      <c r="M174" s="38">
        <v>42916</v>
      </c>
      <c r="N174" s="48" t="s">
        <v>18</v>
      </c>
      <c r="O174" s="35">
        <v>25000</v>
      </c>
      <c r="P174" s="35">
        <v>25000</v>
      </c>
      <c r="Q174" s="35">
        <v>25000</v>
      </c>
      <c r="R174" s="35"/>
      <c r="S174" s="58"/>
      <c r="T174" s="58"/>
    </row>
    <row r="175" spans="1:20" s="15" customFormat="1" ht="26.25" customHeight="1" x14ac:dyDescent="0.2">
      <c r="A175" s="43" t="s">
        <v>546</v>
      </c>
      <c r="B175" s="46" t="s">
        <v>21</v>
      </c>
      <c r="C175" s="44" t="s">
        <v>557</v>
      </c>
      <c r="D175" s="47">
        <v>13679</v>
      </c>
      <c r="E175" s="46" t="s">
        <v>566</v>
      </c>
      <c r="F175" s="35">
        <v>49000</v>
      </c>
      <c r="G175" s="35">
        <v>49000</v>
      </c>
      <c r="H175" s="35">
        <v>0</v>
      </c>
      <c r="I175" s="35">
        <f t="shared" si="7"/>
        <v>49000</v>
      </c>
      <c r="J175" s="36">
        <f t="shared" si="8"/>
        <v>0</v>
      </c>
      <c r="K175" s="48" t="s">
        <v>14</v>
      </c>
      <c r="L175" s="48" t="s">
        <v>15</v>
      </c>
      <c r="M175" s="38">
        <v>42916</v>
      </c>
      <c r="N175" s="48"/>
      <c r="O175" s="35">
        <v>49000</v>
      </c>
      <c r="P175" s="35"/>
      <c r="Q175" s="35"/>
      <c r="R175" s="35"/>
      <c r="S175" s="58"/>
      <c r="T175" s="58"/>
    </row>
    <row r="176" spans="1:20" s="15" customFormat="1" ht="26.25" customHeight="1" x14ac:dyDescent="0.2">
      <c r="A176" s="43" t="s">
        <v>547</v>
      </c>
      <c r="B176" s="46" t="s">
        <v>35</v>
      </c>
      <c r="C176" s="44" t="s">
        <v>558</v>
      </c>
      <c r="D176" s="47">
        <v>13680</v>
      </c>
      <c r="E176" s="46" t="s">
        <v>567</v>
      </c>
      <c r="F176" s="35">
        <f>30000*3</f>
        <v>90000</v>
      </c>
      <c r="G176" s="35">
        <f>30000*3</f>
        <v>90000</v>
      </c>
      <c r="H176" s="35">
        <v>0</v>
      </c>
      <c r="I176" s="35">
        <f t="shared" si="7"/>
        <v>90000</v>
      </c>
      <c r="J176" s="36">
        <f t="shared" si="8"/>
        <v>0</v>
      </c>
      <c r="K176" s="48" t="s">
        <v>14</v>
      </c>
      <c r="L176" s="48" t="s">
        <v>14</v>
      </c>
      <c r="M176" s="38">
        <v>42916</v>
      </c>
      <c r="N176" s="48" t="s">
        <v>18</v>
      </c>
      <c r="O176" s="35">
        <v>30000</v>
      </c>
      <c r="P176" s="35">
        <v>30000</v>
      </c>
      <c r="Q176" s="35">
        <v>30000</v>
      </c>
      <c r="R176" s="35"/>
      <c r="S176" s="58"/>
      <c r="T176" s="58"/>
    </row>
    <row r="177" spans="1:20" s="15" customFormat="1" ht="26.25" customHeight="1" x14ac:dyDescent="0.2">
      <c r="A177" s="43" t="s">
        <v>548</v>
      </c>
      <c r="B177" s="46" t="s">
        <v>214</v>
      </c>
      <c r="C177" s="44" t="s">
        <v>559</v>
      </c>
      <c r="D177" s="47">
        <v>13682</v>
      </c>
      <c r="E177" s="46" t="s">
        <v>568</v>
      </c>
      <c r="F177" s="35">
        <f>29000*3</f>
        <v>87000</v>
      </c>
      <c r="G177" s="35">
        <f>29000*3</f>
        <v>87000</v>
      </c>
      <c r="H177" s="35">
        <v>0</v>
      </c>
      <c r="I177" s="35">
        <f t="shared" si="7"/>
        <v>87000</v>
      </c>
      <c r="J177" s="36">
        <f t="shared" si="8"/>
        <v>0</v>
      </c>
      <c r="K177" s="48" t="s">
        <v>14</v>
      </c>
      <c r="L177" s="48" t="s">
        <v>15</v>
      </c>
      <c r="M177" s="38">
        <v>43465</v>
      </c>
      <c r="N177" s="48" t="s">
        <v>18</v>
      </c>
      <c r="O177" s="35">
        <v>29000</v>
      </c>
      <c r="P177" s="35">
        <v>29000</v>
      </c>
      <c r="Q177" s="35">
        <v>29000</v>
      </c>
      <c r="R177" s="35"/>
      <c r="S177" s="58"/>
      <c r="T177" s="58"/>
    </row>
    <row r="178" spans="1:20" s="15" customFormat="1" ht="26.25" customHeight="1" x14ac:dyDescent="0.2">
      <c r="A178" s="43" t="s">
        <v>549</v>
      </c>
      <c r="B178" s="46" t="s">
        <v>214</v>
      </c>
      <c r="C178" s="44" t="s">
        <v>560</v>
      </c>
      <c r="D178" s="47">
        <v>13684</v>
      </c>
      <c r="E178" s="46" t="s">
        <v>563</v>
      </c>
      <c r="F178" s="35">
        <f>15000*3</f>
        <v>45000</v>
      </c>
      <c r="G178" s="35">
        <f>15000*3</f>
        <v>45000</v>
      </c>
      <c r="H178" s="35">
        <v>0</v>
      </c>
      <c r="I178" s="35">
        <f t="shared" si="7"/>
        <v>45000</v>
      </c>
      <c r="J178" s="36">
        <f t="shared" si="8"/>
        <v>0</v>
      </c>
      <c r="K178" s="48" t="s">
        <v>14</v>
      </c>
      <c r="L178" s="48" t="s">
        <v>15</v>
      </c>
      <c r="M178" s="38">
        <v>43465</v>
      </c>
      <c r="N178" s="48" t="s">
        <v>18</v>
      </c>
      <c r="O178" s="35">
        <v>15000</v>
      </c>
      <c r="P178" s="35">
        <v>15000</v>
      </c>
      <c r="Q178" s="35">
        <v>15000</v>
      </c>
      <c r="R178" s="35"/>
      <c r="S178" s="58"/>
      <c r="T178" s="58"/>
    </row>
    <row r="179" spans="1:20" s="15" customFormat="1" ht="26.25" customHeight="1" x14ac:dyDescent="0.2">
      <c r="A179" s="43" t="s">
        <v>550</v>
      </c>
      <c r="B179" s="46" t="s">
        <v>214</v>
      </c>
      <c r="C179" s="44" t="s">
        <v>561</v>
      </c>
      <c r="D179" s="47">
        <v>13685</v>
      </c>
      <c r="E179" s="46" t="s">
        <v>563</v>
      </c>
      <c r="F179" s="35">
        <f>15000*3</f>
        <v>45000</v>
      </c>
      <c r="G179" s="35">
        <f>15000*3</f>
        <v>45000</v>
      </c>
      <c r="H179" s="35">
        <v>0</v>
      </c>
      <c r="I179" s="35">
        <f t="shared" si="7"/>
        <v>45000</v>
      </c>
      <c r="J179" s="36">
        <f t="shared" si="8"/>
        <v>0</v>
      </c>
      <c r="K179" s="48" t="s">
        <v>14</v>
      </c>
      <c r="L179" s="48" t="s">
        <v>15</v>
      </c>
      <c r="M179" s="38">
        <v>43465</v>
      </c>
      <c r="N179" s="48" t="s">
        <v>18</v>
      </c>
      <c r="O179" s="35">
        <v>15000</v>
      </c>
      <c r="P179" s="35">
        <v>15000</v>
      </c>
      <c r="Q179" s="35">
        <v>15000</v>
      </c>
      <c r="R179" s="35"/>
      <c r="S179" s="58"/>
      <c r="T179" s="58"/>
    </row>
    <row r="180" spans="1:20" s="15" customFormat="1" ht="26.25" customHeight="1" x14ac:dyDescent="0.2">
      <c r="A180" s="43" t="s">
        <v>551</v>
      </c>
      <c r="B180" s="46" t="s">
        <v>69</v>
      </c>
      <c r="C180" s="44" t="s">
        <v>562</v>
      </c>
      <c r="D180" s="47">
        <v>13698</v>
      </c>
      <c r="E180" s="46" t="s">
        <v>569</v>
      </c>
      <c r="F180" s="35">
        <f>48700*3</f>
        <v>146100</v>
      </c>
      <c r="G180" s="35">
        <f>48700*3</f>
        <v>146100</v>
      </c>
      <c r="H180" s="35">
        <v>0</v>
      </c>
      <c r="I180" s="35">
        <f t="shared" si="7"/>
        <v>146100</v>
      </c>
      <c r="J180" s="36">
        <f t="shared" si="8"/>
        <v>0</v>
      </c>
      <c r="K180" s="48" t="s">
        <v>14</v>
      </c>
      <c r="L180" s="48" t="s">
        <v>15</v>
      </c>
      <c r="M180" s="38">
        <v>42916</v>
      </c>
      <c r="N180" s="48" t="s">
        <v>18</v>
      </c>
      <c r="O180" s="35">
        <v>48700</v>
      </c>
      <c r="P180" s="35">
        <v>48700</v>
      </c>
      <c r="Q180" s="35">
        <v>48700</v>
      </c>
      <c r="R180" s="35"/>
      <c r="S180" s="58"/>
      <c r="T180" s="58"/>
    </row>
    <row r="181" spans="1:20" s="15" customFormat="1" ht="26.25" customHeight="1" x14ac:dyDescent="0.2">
      <c r="A181" s="43" t="s">
        <v>552</v>
      </c>
      <c r="B181" s="46" t="s">
        <v>19</v>
      </c>
      <c r="C181" s="44" t="s">
        <v>317</v>
      </c>
      <c r="D181" s="47">
        <v>13704</v>
      </c>
      <c r="E181" s="46" t="s">
        <v>571</v>
      </c>
      <c r="F181" s="35">
        <v>16331</v>
      </c>
      <c r="G181" s="35">
        <v>6788</v>
      </c>
      <c r="H181" s="35">
        <v>16331</v>
      </c>
      <c r="I181" s="35">
        <f t="shared" si="7"/>
        <v>23119</v>
      </c>
      <c r="J181" s="36">
        <f t="shared" si="8"/>
        <v>2.4058632881555688</v>
      </c>
      <c r="K181" s="48" t="s">
        <v>14</v>
      </c>
      <c r="L181" s="48" t="s">
        <v>14</v>
      </c>
      <c r="M181" s="38">
        <v>42916</v>
      </c>
      <c r="N181" s="48" t="s">
        <v>28</v>
      </c>
      <c r="O181" s="35">
        <v>16331</v>
      </c>
      <c r="P181" s="35"/>
      <c r="Q181" s="35"/>
      <c r="R181" s="35"/>
      <c r="S181" s="58"/>
      <c r="T181" s="58"/>
    </row>
    <row r="182" spans="1:20" s="15" customFormat="1" ht="26.25" customHeight="1" x14ac:dyDescent="0.2">
      <c r="A182" s="43" t="s">
        <v>553</v>
      </c>
      <c r="B182" s="46" t="s">
        <v>19</v>
      </c>
      <c r="C182" s="44" t="s">
        <v>254</v>
      </c>
      <c r="D182" s="47">
        <v>13735</v>
      </c>
      <c r="E182" s="46" t="s">
        <v>570</v>
      </c>
      <c r="F182" s="35">
        <v>15000</v>
      </c>
      <c r="G182" s="35">
        <v>15000</v>
      </c>
      <c r="H182" s="35">
        <v>0</v>
      </c>
      <c r="I182" s="35">
        <f t="shared" si="7"/>
        <v>15000</v>
      </c>
      <c r="J182" s="36">
        <f t="shared" si="8"/>
        <v>0</v>
      </c>
      <c r="K182" s="48" t="s">
        <v>14</v>
      </c>
      <c r="L182" s="48" t="s">
        <v>14</v>
      </c>
      <c r="M182" s="38">
        <v>42916</v>
      </c>
      <c r="N182" s="48"/>
      <c r="O182" s="35">
        <v>15000</v>
      </c>
      <c r="P182" s="35"/>
      <c r="Q182" s="35"/>
      <c r="R182" s="35"/>
      <c r="S182" s="58"/>
      <c r="T182" s="58"/>
    </row>
    <row r="183" spans="1:20" s="15" customFormat="1" ht="26.25" customHeight="1" x14ac:dyDescent="0.2">
      <c r="A183" s="43" t="s">
        <v>572</v>
      </c>
      <c r="B183" s="46" t="s">
        <v>19</v>
      </c>
      <c r="C183" s="44" t="s">
        <v>576</v>
      </c>
      <c r="D183" s="47">
        <v>13649</v>
      </c>
      <c r="E183" s="46" t="s">
        <v>580</v>
      </c>
      <c r="F183" s="35">
        <v>50166</v>
      </c>
      <c r="G183" s="35">
        <v>50166</v>
      </c>
      <c r="H183" s="35">
        <v>0</v>
      </c>
      <c r="I183" s="35">
        <f t="shared" si="7"/>
        <v>50166</v>
      </c>
      <c r="J183" s="36">
        <f t="shared" si="8"/>
        <v>0</v>
      </c>
      <c r="K183" s="48" t="s">
        <v>14</v>
      </c>
      <c r="L183" s="48" t="s">
        <v>14</v>
      </c>
      <c r="M183" s="38">
        <v>42916</v>
      </c>
      <c r="N183" s="48"/>
      <c r="O183" s="35">
        <v>50166</v>
      </c>
      <c r="P183" s="35"/>
      <c r="Q183" s="35"/>
      <c r="R183" s="35"/>
      <c r="S183" s="58"/>
      <c r="T183" s="58"/>
    </row>
    <row r="184" spans="1:20" s="15" customFormat="1" ht="26.25" customHeight="1" x14ac:dyDescent="0.2">
      <c r="A184" s="43" t="s">
        <v>573</v>
      </c>
      <c r="B184" s="46" t="s">
        <v>69</v>
      </c>
      <c r="C184" s="44" t="s">
        <v>577</v>
      </c>
      <c r="D184" s="47">
        <v>13674</v>
      </c>
      <c r="E184" s="46" t="s">
        <v>581</v>
      </c>
      <c r="F184" s="35">
        <v>99000</v>
      </c>
      <c r="G184" s="35">
        <v>99000</v>
      </c>
      <c r="H184" s="35">
        <v>0</v>
      </c>
      <c r="I184" s="35">
        <f t="shared" si="7"/>
        <v>99000</v>
      </c>
      <c r="J184" s="36">
        <f t="shared" si="8"/>
        <v>0</v>
      </c>
      <c r="K184" s="48" t="s">
        <v>14</v>
      </c>
      <c r="L184" s="48" t="s">
        <v>14</v>
      </c>
      <c r="M184" s="38">
        <v>43069</v>
      </c>
      <c r="N184" s="48"/>
      <c r="O184" s="35">
        <v>99000</v>
      </c>
      <c r="P184" s="35"/>
      <c r="Q184" s="35"/>
      <c r="R184" s="35"/>
      <c r="S184" s="58"/>
      <c r="T184" s="58"/>
    </row>
    <row r="185" spans="1:20" s="15" customFormat="1" ht="26.25" customHeight="1" x14ac:dyDescent="0.2">
      <c r="A185" s="43" t="s">
        <v>574</v>
      </c>
      <c r="B185" s="46" t="s">
        <v>69</v>
      </c>
      <c r="C185" s="44" t="s">
        <v>578</v>
      </c>
      <c r="D185" s="47">
        <v>13696</v>
      </c>
      <c r="E185" s="46" t="s">
        <v>583</v>
      </c>
      <c r="F185" s="35">
        <f>59408*3</f>
        <v>178224</v>
      </c>
      <c r="G185" s="35">
        <f>59408*3</f>
        <v>178224</v>
      </c>
      <c r="H185" s="35">
        <v>0</v>
      </c>
      <c r="I185" s="35">
        <f t="shared" si="7"/>
        <v>178224</v>
      </c>
      <c r="J185" s="36">
        <f t="shared" si="8"/>
        <v>0</v>
      </c>
      <c r="K185" s="48" t="s">
        <v>14</v>
      </c>
      <c r="L185" s="48" t="s">
        <v>14</v>
      </c>
      <c r="M185" s="38">
        <v>43085</v>
      </c>
      <c r="N185" s="48" t="s">
        <v>18</v>
      </c>
      <c r="O185" s="35">
        <v>59408</v>
      </c>
      <c r="P185" s="35">
        <v>59408</v>
      </c>
      <c r="Q185" s="35">
        <v>59408</v>
      </c>
      <c r="R185" s="35"/>
      <c r="S185" s="58"/>
      <c r="T185" s="58"/>
    </row>
    <row r="186" spans="1:20" s="15" customFormat="1" ht="26.25" customHeight="1" x14ac:dyDescent="0.2">
      <c r="A186" s="43" t="s">
        <v>575</v>
      </c>
      <c r="B186" s="46" t="s">
        <v>69</v>
      </c>
      <c r="C186" s="44" t="s">
        <v>579</v>
      </c>
      <c r="D186" s="47">
        <v>13701</v>
      </c>
      <c r="E186" s="46" t="s">
        <v>582</v>
      </c>
      <c r="F186" s="35">
        <f>99000*3</f>
        <v>297000</v>
      </c>
      <c r="G186" s="35">
        <f>99000*3</f>
        <v>297000</v>
      </c>
      <c r="H186" s="35">
        <v>0</v>
      </c>
      <c r="I186" s="35">
        <f t="shared" si="7"/>
        <v>297000</v>
      </c>
      <c r="J186" s="36">
        <f t="shared" si="8"/>
        <v>0</v>
      </c>
      <c r="K186" s="48" t="s">
        <v>14</v>
      </c>
      <c r="L186" s="48" t="s">
        <v>14</v>
      </c>
      <c r="M186" s="38">
        <v>43070</v>
      </c>
      <c r="N186" s="48" t="s">
        <v>18</v>
      </c>
      <c r="O186" s="35">
        <v>99000</v>
      </c>
      <c r="P186" s="35">
        <v>99000</v>
      </c>
      <c r="Q186" s="35">
        <v>99000</v>
      </c>
      <c r="R186" s="35"/>
      <c r="S186" s="58"/>
      <c r="T186" s="58"/>
    </row>
    <row r="187" spans="1:20" s="15" customFormat="1" ht="18" customHeight="1" x14ac:dyDescent="0.2">
      <c r="A187" s="43" t="s">
        <v>584</v>
      </c>
      <c r="B187" s="46" t="s">
        <v>62</v>
      </c>
      <c r="C187" s="44" t="s">
        <v>534</v>
      </c>
      <c r="D187" s="47">
        <v>13343</v>
      </c>
      <c r="E187" s="46" t="s">
        <v>670</v>
      </c>
      <c r="F187" s="35">
        <v>68737</v>
      </c>
      <c r="G187" s="35">
        <v>68737</v>
      </c>
      <c r="H187" s="35">
        <v>0</v>
      </c>
      <c r="I187" s="35">
        <f t="shared" si="7"/>
        <v>68737</v>
      </c>
      <c r="J187" s="36">
        <f t="shared" si="8"/>
        <v>0</v>
      </c>
      <c r="K187" s="48" t="s">
        <v>14</v>
      </c>
      <c r="L187" s="48" t="s">
        <v>14</v>
      </c>
      <c r="M187" s="38">
        <v>42916</v>
      </c>
      <c r="N187" s="48"/>
      <c r="O187" s="35">
        <v>68737</v>
      </c>
      <c r="P187" s="35"/>
      <c r="Q187" s="35"/>
      <c r="R187" s="35"/>
      <c r="S187" s="58"/>
      <c r="T187" s="58"/>
    </row>
    <row r="188" spans="1:20" s="15" customFormat="1" ht="18" customHeight="1" x14ac:dyDescent="0.2">
      <c r="A188" s="43" t="s">
        <v>585</v>
      </c>
      <c r="B188" s="46" t="s">
        <v>21</v>
      </c>
      <c r="C188" s="44" t="s">
        <v>588</v>
      </c>
      <c r="D188" s="47">
        <v>13646</v>
      </c>
      <c r="E188" s="46" t="s">
        <v>669</v>
      </c>
      <c r="F188" s="35">
        <f>60000*3</f>
        <v>180000</v>
      </c>
      <c r="G188" s="35">
        <f>60000*3</f>
        <v>180000</v>
      </c>
      <c r="H188" s="35">
        <v>0</v>
      </c>
      <c r="I188" s="35">
        <f t="shared" si="7"/>
        <v>180000</v>
      </c>
      <c r="J188" s="36">
        <f t="shared" si="8"/>
        <v>0</v>
      </c>
      <c r="K188" s="48" t="s">
        <v>14</v>
      </c>
      <c r="L188" s="48" t="s">
        <v>15</v>
      </c>
      <c r="M188" s="38">
        <v>42916</v>
      </c>
      <c r="N188" s="48" t="s">
        <v>18</v>
      </c>
      <c r="O188" s="35">
        <v>60000</v>
      </c>
      <c r="P188" s="35">
        <v>60000</v>
      </c>
      <c r="Q188" s="35">
        <v>60000</v>
      </c>
      <c r="R188" s="35"/>
      <c r="S188" s="58"/>
      <c r="T188" s="58"/>
    </row>
    <row r="189" spans="1:20" s="15" customFormat="1" ht="18" customHeight="1" x14ac:dyDescent="0.2">
      <c r="A189" s="43" t="s">
        <v>586</v>
      </c>
      <c r="B189" s="46" t="s">
        <v>19</v>
      </c>
      <c r="C189" s="44" t="s">
        <v>589</v>
      </c>
      <c r="D189" s="47">
        <v>13773</v>
      </c>
      <c r="E189" s="46" t="s">
        <v>587</v>
      </c>
      <c r="F189" s="35">
        <v>62700</v>
      </c>
      <c r="G189" s="35">
        <v>62700</v>
      </c>
      <c r="H189" s="35">
        <v>0</v>
      </c>
      <c r="I189" s="35">
        <f t="shared" si="7"/>
        <v>62700</v>
      </c>
      <c r="J189" s="36">
        <f t="shared" si="8"/>
        <v>0</v>
      </c>
      <c r="K189" s="48" t="s">
        <v>14</v>
      </c>
      <c r="L189" s="48" t="s">
        <v>14</v>
      </c>
      <c r="M189" s="38">
        <v>42916</v>
      </c>
      <c r="N189" s="48"/>
      <c r="O189" s="35">
        <v>62700</v>
      </c>
      <c r="P189" s="35"/>
      <c r="Q189" s="35"/>
      <c r="R189" s="35"/>
      <c r="S189" s="58"/>
      <c r="T189" s="58"/>
    </row>
    <row r="190" spans="1:20" s="15" customFormat="1" ht="26.25" customHeight="1" x14ac:dyDescent="0.2">
      <c r="A190" s="43" t="s">
        <v>590</v>
      </c>
      <c r="B190" s="46" t="s">
        <v>596</v>
      </c>
      <c r="C190" s="44" t="s">
        <v>598</v>
      </c>
      <c r="D190" s="47">
        <v>13692</v>
      </c>
      <c r="E190" s="46" t="s">
        <v>604</v>
      </c>
      <c r="F190" s="35">
        <v>13416</v>
      </c>
      <c r="G190" s="35">
        <v>13416</v>
      </c>
      <c r="H190" s="35">
        <v>0</v>
      </c>
      <c r="I190" s="35">
        <f t="shared" si="7"/>
        <v>13416</v>
      </c>
      <c r="J190" s="36">
        <f t="shared" si="8"/>
        <v>0</v>
      </c>
      <c r="K190" s="48" t="s">
        <v>14</v>
      </c>
      <c r="L190" s="48" t="s">
        <v>14</v>
      </c>
      <c r="M190" s="38">
        <v>43220</v>
      </c>
      <c r="N190" s="48"/>
      <c r="O190" s="35">
        <v>13416</v>
      </c>
      <c r="P190" s="35"/>
      <c r="Q190" s="35"/>
      <c r="R190" s="35"/>
      <c r="S190" s="58"/>
      <c r="T190" s="58"/>
    </row>
    <row r="191" spans="1:20" s="15" customFormat="1" ht="26.25" customHeight="1" x14ac:dyDescent="0.2">
      <c r="A191" s="43" t="s">
        <v>591</v>
      </c>
      <c r="B191" s="46" t="s">
        <v>597</v>
      </c>
      <c r="C191" s="44" t="s">
        <v>599</v>
      </c>
      <c r="D191" s="47">
        <v>13768</v>
      </c>
      <c r="E191" s="46" t="s">
        <v>605</v>
      </c>
      <c r="F191" s="35">
        <f>27650*2</f>
        <v>55300</v>
      </c>
      <c r="G191" s="35">
        <f>27650*2</f>
        <v>55300</v>
      </c>
      <c r="H191" s="35">
        <v>0</v>
      </c>
      <c r="I191" s="35">
        <f t="shared" si="7"/>
        <v>55300</v>
      </c>
      <c r="J191" s="36">
        <f t="shared" si="8"/>
        <v>0</v>
      </c>
      <c r="K191" s="48" t="s">
        <v>14</v>
      </c>
      <c r="L191" s="48" t="s">
        <v>14</v>
      </c>
      <c r="M191" s="38">
        <v>42795</v>
      </c>
      <c r="N191" s="48" t="s">
        <v>18</v>
      </c>
      <c r="O191" s="35">
        <v>27650</v>
      </c>
      <c r="P191" s="35">
        <v>27650</v>
      </c>
      <c r="Q191" s="35"/>
      <c r="R191" s="35"/>
      <c r="S191" s="58"/>
      <c r="T191" s="58"/>
    </row>
    <row r="192" spans="1:20" s="15" customFormat="1" ht="26.25" customHeight="1" x14ac:dyDescent="0.2">
      <c r="A192" s="43" t="s">
        <v>592</v>
      </c>
      <c r="B192" s="46" t="s">
        <v>21</v>
      </c>
      <c r="C192" s="44" t="s">
        <v>600</v>
      </c>
      <c r="D192" s="47">
        <v>13757</v>
      </c>
      <c r="E192" s="46" t="s">
        <v>606</v>
      </c>
      <c r="F192" s="35">
        <v>8485</v>
      </c>
      <c r="G192" s="35">
        <v>8485</v>
      </c>
      <c r="H192" s="35">
        <v>0</v>
      </c>
      <c r="I192" s="35">
        <f t="shared" si="7"/>
        <v>8485</v>
      </c>
      <c r="J192" s="36">
        <f t="shared" si="8"/>
        <v>0</v>
      </c>
      <c r="K192" s="48" t="s">
        <v>14</v>
      </c>
      <c r="L192" s="48" t="s">
        <v>15</v>
      </c>
      <c r="M192" s="38">
        <v>42825</v>
      </c>
      <c r="N192" s="48"/>
      <c r="O192" s="35">
        <v>8485</v>
      </c>
      <c r="P192" s="35"/>
      <c r="Q192" s="35"/>
      <c r="R192" s="35"/>
      <c r="S192" s="58"/>
      <c r="T192" s="58"/>
    </row>
    <row r="193" spans="1:20" s="15" customFormat="1" ht="18" customHeight="1" x14ac:dyDescent="0.2">
      <c r="A193" s="43" t="s">
        <v>593</v>
      </c>
      <c r="B193" s="46" t="s">
        <v>19</v>
      </c>
      <c r="C193" s="44" t="s">
        <v>601</v>
      </c>
      <c r="D193" s="47">
        <v>13775</v>
      </c>
      <c r="E193" s="46" t="s">
        <v>668</v>
      </c>
      <c r="F193" s="35">
        <v>21230</v>
      </c>
      <c r="G193" s="35">
        <v>21230</v>
      </c>
      <c r="H193" s="35">
        <v>0</v>
      </c>
      <c r="I193" s="35">
        <f t="shared" si="7"/>
        <v>21230</v>
      </c>
      <c r="J193" s="36">
        <f t="shared" si="8"/>
        <v>0</v>
      </c>
      <c r="K193" s="48" t="s">
        <v>14</v>
      </c>
      <c r="L193" s="48" t="s">
        <v>14</v>
      </c>
      <c r="M193" s="38">
        <v>42916</v>
      </c>
      <c r="N193" s="48"/>
      <c r="O193" s="35">
        <v>21230</v>
      </c>
      <c r="P193" s="35"/>
      <c r="Q193" s="35"/>
      <c r="R193" s="35"/>
      <c r="S193" s="58"/>
      <c r="T193" s="58"/>
    </row>
    <row r="194" spans="1:20" s="15" customFormat="1" ht="18" customHeight="1" x14ac:dyDescent="0.2">
      <c r="A194" s="43" t="s">
        <v>594</v>
      </c>
      <c r="B194" s="46" t="s">
        <v>19</v>
      </c>
      <c r="C194" s="44" t="s">
        <v>602</v>
      </c>
      <c r="D194" s="47">
        <v>13776</v>
      </c>
      <c r="E194" s="46" t="s">
        <v>668</v>
      </c>
      <c r="F194" s="35">
        <v>31950</v>
      </c>
      <c r="G194" s="35">
        <v>31950</v>
      </c>
      <c r="H194" s="35">
        <v>0</v>
      </c>
      <c r="I194" s="35">
        <f t="shared" si="7"/>
        <v>31950</v>
      </c>
      <c r="J194" s="36">
        <f t="shared" si="8"/>
        <v>0</v>
      </c>
      <c r="K194" s="48" t="s">
        <v>14</v>
      </c>
      <c r="L194" s="48" t="s">
        <v>14</v>
      </c>
      <c r="M194" s="38">
        <v>42916</v>
      </c>
      <c r="N194" s="48"/>
      <c r="O194" s="35">
        <v>31950</v>
      </c>
      <c r="P194" s="35"/>
      <c r="Q194" s="35"/>
      <c r="R194" s="35"/>
      <c r="S194" s="58"/>
      <c r="T194" s="58"/>
    </row>
    <row r="195" spans="1:20" s="15" customFormat="1" ht="26.25" customHeight="1" x14ac:dyDescent="0.2">
      <c r="A195" s="43" t="s">
        <v>595</v>
      </c>
      <c r="B195" s="46" t="s">
        <v>21</v>
      </c>
      <c r="C195" s="44" t="s">
        <v>603</v>
      </c>
      <c r="D195" s="47">
        <v>13788</v>
      </c>
      <c r="E195" s="46" t="s">
        <v>607</v>
      </c>
      <c r="F195" s="35">
        <v>20901</v>
      </c>
      <c r="G195" s="35">
        <v>20901</v>
      </c>
      <c r="H195" s="35">
        <v>0</v>
      </c>
      <c r="I195" s="35">
        <f t="shared" si="7"/>
        <v>20901</v>
      </c>
      <c r="J195" s="36">
        <f t="shared" si="8"/>
        <v>0</v>
      </c>
      <c r="K195" s="48" t="s">
        <v>14</v>
      </c>
      <c r="L195" s="48" t="s">
        <v>14</v>
      </c>
      <c r="M195" s="38">
        <v>42916</v>
      </c>
      <c r="N195" s="48"/>
      <c r="O195" s="35">
        <v>20901</v>
      </c>
      <c r="P195" s="35"/>
      <c r="Q195" s="35"/>
      <c r="R195" s="35"/>
      <c r="S195" s="58"/>
      <c r="T195" s="58"/>
    </row>
    <row r="196" spans="1:20" s="15" customFormat="1" ht="26.25" customHeight="1" x14ac:dyDescent="0.2">
      <c r="A196" s="43" t="s">
        <v>608</v>
      </c>
      <c r="B196" s="46" t="s">
        <v>92</v>
      </c>
      <c r="C196" s="44" t="s">
        <v>29</v>
      </c>
      <c r="D196" s="54" t="s">
        <v>614</v>
      </c>
      <c r="E196" s="46" t="s">
        <v>617</v>
      </c>
      <c r="F196" s="35">
        <v>20000</v>
      </c>
      <c r="G196" s="35">
        <v>79260</v>
      </c>
      <c r="H196" s="35">
        <v>20000</v>
      </c>
      <c r="I196" s="35">
        <f t="shared" si="7"/>
        <v>99260</v>
      </c>
      <c r="J196" s="36">
        <f t="shared" si="8"/>
        <v>0.25233409033560433</v>
      </c>
      <c r="K196" s="48" t="s">
        <v>14</v>
      </c>
      <c r="L196" s="48" t="s">
        <v>14</v>
      </c>
      <c r="M196" s="38">
        <v>42916</v>
      </c>
      <c r="N196" s="48" t="s">
        <v>28</v>
      </c>
      <c r="O196" s="35">
        <v>20000</v>
      </c>
      <c r="P196" s="35"/>
      <c r="Q196" s="35"/>
      <c r="R196" s="35"/>
      <c r="S196" s="58"/>
      <c r="T196" s="58"/>
    </row>
    <row r="197" spans="1:20" s="15" customFormat="1" ht="26.25" customHeight="1" x14ac:dyDescent="0.2">
      <c r="A197" s="43" t="s">
        <v>609</v>
      </c>
      <c r="B197" s="46" t="s">
        <v>21</v>
      </c>
      <c r="C197" s="44" t="s">
        <v>612</v>
      </c>
      <c r="D197" s="47">
        <v>13753</v>
      </c>
      <c r="E197" s="46" t="s">
        <v>666</v>
      </c>
      <c r="F197" s="35">
        <v>95000</v>
      </c>
      <c r="G197" s="35">
        <v>95000</v>
      </c>
      <c r="H197" s="35">
        <v>0</v>
      </c>
      <c r="I197" s="35">
        <f>G197+H197</f>
        <v>95000</v>
      </c>
      <c r="J197" s="36">
        <f>IF(G197=0,100%,(I197-G197)/G197)</f>
        <v>0</v>
      </c>
      <c r="K197" s="48" t="s">
        <v>14</v>
      </c>
      <c r="L197" s="48" t="s">
        <v>15</v>
      </c>
      <c r="M197" s="52">
        <v>42855</v>
      </c>
      <c r="N197" s="48"/>
      <c r="O197" s="35">
        <v>95000</v>
      </c>
      <c r="P197" s="35"/>
      <c r="Q197" s="35"/>
      <c r="R197" s="35"/>
      <c r="S197" s="58"/>
      <c r="T197" s="58"/>
    </row>
    <row r="198" spans="1:20" s="15" customFormat="1" ht="26.25" customHeight="1" x14ac:dyDescent="0.2">
      <c r="A198" s="43" t="s">
        <v>610</v>
      </c>
      <c r="B198" s="46" t="s">
        <v>611</v>
      </c>
      <c r="C198" s="44" t="s">
        <v>613</v>
      </c>
      <c r="D198" s="47" t="s">
        <v>615</v>
      </c>
      <c r="E198" s="46" t="s">
        <v>616</v>
      </c>
      <c r="F198" s="35">
        <f>99000*3</f>
        <v>297000</v>
      </c>
      <c r="G198" s="35">
        <f>99000*3</f>
        <v>297000</v>
      </c>
      <c r="H198" s="35">
        <v>0</v>
      </c>
      <c r="I198" s="35">
        <f>G198+H198</f>
        <v>297000</v>
      </c>
      <c r="J198" s="36">
        <f>IF(G198=0,100%,(I198-G198)/G198)</f>
        <v>0</v>
      </c>
      <c r="K198" s="48" t="s">
        <v>14</v>
      </c>
      <c r="L198" s="48" t="s">
        <v>14</v>
      </c>
      <c r="M198" s="38">
        <v>43100</v>
      </c>
      <c r="N198" s="48" t="s">
        <v>18</v>
      </c>
      <c r="O198" s="35">
        <v>99000</v>
      </c>
      <c r="P198" s="35">
        <v>99000</v>
      </c>
      <c r="Q198" s="35">
        <v>99000</v>
      </c>
      <c r="R198" s="35"/>
      <c r="S198" s="58"/>
      <c r="T198" s="58"/>
    </row>
    <row r="199" spans="1:20" s="15" customFormat="1" ht="26.25" customHeight="1" x14ac:dyDescent="0.2">
      <c r="A199" s="43" t="s">
        <v>618</v>
      </c>
      <c r="B199" s="46" t="s">
        <v>26</v>
      </c>
      <c r="C199" s="44" t="s">
        <v>636</v>
      </c>
      <c r="D199" s="54" t="s">
        <v>660</v>
      </c>
      <c r="E199" s="46" t="s">
        <v>635</v>
      </c>
      <c r="F199" s="35">
        <v>15000</v>
      </c>
      <c r="G199" s="35">
        <v>15000</v>
      </c>
      <c r="H199" s="35">
        <v>0</v>
      </c>
      <c r="I199" s="35">
        <f t="shared" ref="I199:I262" si="9">G199+H199</f>
        <v>15000</v>
      </c>
      <c r="J199" s="36">
        <f t="shared" ref="J199:J262" si="10">IF(G199=0,100%,(I199-G199)/G199)</f>
        <v>0</v>
      </c>
      <c r="K199" s="48" t="s">
        <v>14</v>
      </c>
      <c r="L199" s="48" t="s">
        <v>14</v>
      </c>
      <c r="M199" s="38">
        <v>43281</v>
      </c>
      <c r="N199" s="48"/>
      <c r="O199" s="35">
        <v>15000</v>
      </c>
      <c r="P199" s="35"/>
      <c r="Q199" s="35"/>
      <c r="R199" s="35"/>
      <c r="S199" s="58"/>
      <c r="T199" s="58"/>
    </row>
    <row r="200" spans="1:20" s="15" customFormat="1" ht="18" customHeight="1" x14ac:dyDescent="0.2">
      <c r="A200" s="43" t="s">
        <v>619</v>
      </c>
      <c r="B200" s="46" t="s">
        <v>19</v>
      </c>
      <c r="C200" s="44" t="s">
        <v>637</v>
      </c>
      <c r="D200" s="47">
        <v>13774</v>
      </c>
      <c r="E200" s="46" t="s">
        <v>667</v>
      </c>
      <c r="F200" s="35">
        <v>22400</v>
      </c>
      <c r="G200" s="35">
        <v>22400</v>
      </c>
      <c r="H200" s="35">
        <v>0</v>
      </c>
      <c r="I200" s="35">
        <f t="shared" si="9"/>
        <v>22400</v>
      </c>
      <c r="J200" s="36">
        <f t="shared" si="10"/>
        <v>0</v>
      </c>
      <c r="K200" s="48" t="s">
        <v>14</v>
      </c>
      <c r="L200" s="48" t="s">
        <v>14</v>
      </c>
      <c r="M200" s="38">
        <v>42916</v>
      </c>
      <c r="N200" s="48"/>
      <c r="O200" s="35">
        <v>22400</v>
      </c>
      <c r="P200" s="35"/>
      <c r="Q200" s="35"/>
      <c r="R200" s="35"/>
      <c r="S200" s="58"/>
      <c r="T200" s="58"/>
    </row>
    <row r="201" spans="1:20" s="15" customFormat="1" ht="26.25" customHeight="1" x14ac:dyDescent="0.2">
      <c r="A201" s="43" t="s">
        <v>620</v>
      </c>
      <c r="B201" s="46" t="s">
        <v>634</v>
      </c>
      <c r="C201" s="44" t="s">
        <v>638</v>
      </c>
      <c r="D201" s="47">
        <v>13749</v>
      </c>
      <c r="E201" s="46" t="s">
        <v>647</v>
      </c>
      <c r="F201" s="35">
        <v>10500</v>
      </c>
      <c r="G201" s="35">
        <v>10500</v>
      </c>
      <c r="H201" s="35">
        <v>0</v>
      </c>
      <c r="I201" s="35">
        <f t="shared" si="9"/>
        <v>10500</v>
      </c>
      <c r="J201" s="36">
        <f t="shared" si="10"/>
        <v>0</v>
      </c>
      <c r="K201" s="48" t="s">
        <v>14</v>
      </c>
      <c r="L201" s="48" t="s">
        <v>14</v>
      </c>
      <c r="M201" s="38">
        <v>42706</v>
      </c>
      <c r="N201" s="48"/>
      <c r="O201" s="35">
        <v>10500</v>
      </c>
      <c r="P201" s="35"/>
      <c r="Q201" s="35"/>
      <c r="R201" s="35"/>
      <c r="S201" s="58"/>
      <c r="T201" s="58"/>
    </row>
    <row r="202" spans="1:20" s="15" customFormat="1" ht="26.25" customHeight="1" x14ac:dyDescent="0.2">
      <c r="A202" s="43" t="s">
        <v>621</v>
      </c>
      <c r="B202" s="46" t="s">
        <v>69</v>
      </c>
      <c r="C202" s="44" t="s">
        <v>401</v>
      </c>
      <c r="D202" s="47">
        <v>13752</v>
      </c>
      <c r="E202" s="46" t="s">
        <v>648</v>
      </c>
      <c r="F202" s="35">
        <v>11375</v>
      </c>
      <c r="G202" s="35">
        <v>11375</v>
      </c>
      <c r="H202" s="35">
        <v>0</v>
      </c>
      <c r="I202" s="35">
        <f t="shared" si="9"/>
        <v>11375</v>
      </c>
      <c r="J202" s="36">
        <f t="shared" si="10"/>
        <v>0</v>
      </c>
      <c r="K202" s="48" t="s">
        <v>14</v>
      </c>
      <c r="L202" s="48" t="s">
        <v>14</v>
      </c>
      <c r="M202" s="38">
        <v>43084</v>
      </c>
      <c r="N202" s="48"/>
      <c r="O202" s="35">
        <v>11375</v>
      </c>
      <c r="P202" s="35"/>
      <c r="Q202" s="35"/>
      <c r="R202" s="35"/>
      <c r="S202" s="58"/>
      <c r="T202" s="58"/>
    </row>
    <row r="203" spans="1:20" s="15" customFormat="1" ht="26.25" customHeight="1" x14ac:dyDescent="0.2">
      <c r="A203" s="43" t="s">
        <v>622</v>
      </c>
      <c r="B203" s="46" t="s">
        <v>19</v>
      </c>
      <c r="C203" s="44" t="s">
        <v>131</v>
      </c>
      <c r="D203" s="54" t="s">
        <v>661</v>
      </c>
      <c r="E203" s="46" t="s">
        <v>665</v>
      </c>
      <c r="F203" s="35">
        <v>20000</v>
      </c>
      <c r="G203" s="35">
        <v>20000</v>
      </c>
      <c r="H203" s="35">
        <v>0</v>
      </c>
      <c r="I203" s="35">
        <f t="shared" si="9"/>
        <v>20000</v>
      </c>
      <c r="J203" s="36">
        <f t="shared" si="10"/>
        <v>0</v>
      </c>
      <c r="K203" s="48" t="s">
        <v>14</v>
      </c>
      <c r="L203" s="48" t="s">
        <v>14</v>
      </c>
      <c r="M203" s="38">
        <v>42916</v>
      </c>
      <c r="N203" s="48"/>
      <c r="O203" s="35">
        <v>20000</v>
      </c>
      <c r="P203" s="35"/>
      <c r="Q203" s="35"/>
      <c r="R203" s="35"/>
      <c r="S203" s="58"/>
      <c r="T203" s="58"/>
    </row>
    <row r="204" spans="1:20" s="15" customFormat="1" ht="26.25" customHeight="1" x14ac:dyDescent="0.2">
      <c r="A204" s="43" t="s">
        <v>623</v>
      </c>
      <c r="B204" s="46" t="s">
        <v>19</v>
      </c>
      <c r="C204" s="44" t="s">
        <v>34</v>
      </c>
      <c r="D204" s="47">
        <v>13764</v>
      </c>
      <c r="E204" s="46" t="s">
        <v>659</v>
      </c>
      <c r="F204" s="35">
        <v>6700</v>
      </c>
      <c r="G204" s="35">
        <v>6700</v>
      </c>
      <c r="H204" s="35">
        <v>0</v>
      </c>
      <c r="I204" s="35">
        <f t="shared" si="9"/>
        <v>6700</v>
      </c>
      <c r="J204" s="36">
        <f t="shared" si="10"/>
        <v>0</v>
      </c>
      <c r="K204" s="48" t="s">
        <v>14</v>
      </c>
      <c r="L204" s="48" t="s">
        <v>14</v>
      </c>
      <c r="M204" s="38">
        <v>42916</v>
      </c>
      <c r="N204" s="48"/>
      <c r="O204" s="35">
        <v>6700</v>
      </c>
      <c r="P204" s="35"/>
      <c r="Q204" s="35"/>
      <c r="R204" s="35"/>
      <c r="S204" s="58"/>
      <c r="T204" s="58"/>
    </row>
    <row r="205" spans="1:20" s="15" customFormat="1" ht="26.25" customHeight="1" x14ac:dyDescent="0.2">
      <c r="A205" s="43" t="s">
        <v>624</v>
      </c>
      <c r="B205" s="46" t="s">
        <v>69</v>
      </c>
      <c r="C205" s="44" t="s">
        <v>639</v>
      </c>
      <c r="D205" s="47">
        <v>13766</v>
      </c>
      <c r="E205" s="46" t="s">
        <v>649</v>
      </c>
      <c r="F205" s="35">
        <f>42320+47800+47800</f>
        <v>137920</v>
      </c>
      <c r="G205" s="35">
        <f>42320+47800+47800</f>
        <v>137920</v>
      </c>
      <c r="H205" s="35">
        <v>0</v>
      </c>
      <c r="I205" s="35">
        <f t="shared" si="9"/>
        <v>137920</v>
      </c>
      <c r="J205" s="36">
        <f t="shared" si="10"/>
        <v>0</v>
      </c>
      <c r="K205" s="48" t="s">
        <v>14</v>
      </c>
      <c r="L205" s="48" t="s">
        <v>14</v>
      </c>
      <c r="M205" s="38">
        <v>43085</v>
      </c>
      <c r="N205" s="48" t="s">
        <v>18</v>
      </c>
      <c r="O205" s="35">
        <v>42320</v>
      </c>
      <c r="P205" s="35">
        <v>47800</v>
      </c>
      <c r="Q205" s="35">
        <v>47800</v>
      </c>
      <c r="R205" s="35"/>
      <c r="S205" s="58"/>
      <c r="T205" s="58"/>
    </row>
    <row r="206" spans="1:20" s="15" customFormat="1" ht="26.25" customHeight="1" x14ac:dyDescent="0.2">
      <c r="A206" s="43" t="s">
        <v>625</v>
      </c>
      <c r="B206" s="46" t="s">
        <v>166</v>
      </c>
      <c r="C206" s="44" t="s">
        <v>640</v>
      </c>
      <c r="D206" s="47">
        <v>13767</v>
      </c>
      <c r="E206" s="46" t="s">
        <v>650</v>
      </c>
      <c r="F206" s="35">
        <v>49500</v>
      </c>
      <c r="G206" s="35">
        <v>49500</v>
      </c>
      <c r="H206" s="35">
        <v>0</v>
      </c>
      <c r="I206" s="35">
        <f t="shared" si="9"/>
        <v>49500</v>
      </c>
      <c r="J206" s="36">
        <f t="shared" si="10"/>
        <v>0</v>
      </c>
      <c r="K206" s="48" t="s">
        <v>14</v>
      </c>
      <c r="L206" s="48" t="s">
        <v>14</v>
      </c>
      <c r="M206" s="38">
        <v>42916</v>
      </c>
      <c r="N206" s="48"/>
      <c r="O206" s="35">
        <v>49500</v>
      </c>
      <c r="P206" s="35"/>
      <c r="Q206" s="35"/>
      <c r="R206" s="35"/>
      <c r="S206" s="58"/>
      <c r="T206" s="58"/>
    </row>
    <row r="207" spans="1:20" s="15" customFormat="1" ht="26.25" customHeight="1" x14ac:dyDescent="0.2">
      <c r="A207" s="43" t="s">
        <v>626</v>
      </c>
      <c r="B207" s="46" t="s">
        <v>21</v>
      </c>
      <c r="C207" s="44" t="s">
        <v>641</v>
      </c>
      <c r="D207" s="47">
        <v>13787</v>
      </c>
      <c r="E207" s="46" t="s">
        <v>651</v>
      </c>
      <c r="F207" s="35">
        <v>18500</v>
      </c>
      <c r="G207" s="35">
        <v>18500</v>
      </c>
      <c r="H207" s="35">
        <v>0</v>
      </c>
      <c r="I207" s="35">
        <f t="shared" si="9"/>
        <v>18500</v>
      </c>
      <c r="J207" s="36">
        <f t="shared" si="10"/>
        <v>0</v>
      </c>
      <c r="K207" s="48" t="s">
        <v>15</v>
      </c>
      <c r="L207" s="48" t="s">
        <v>14</v>
      </c>
      <c r="M207" s="38">
        <v>42781</v>
      </c>
      <c r="N207" s="48"/>
      <c r="O207" s="35">
        <v>18500</v>
      </c>
      <c r="P207" s="35"/>
      <c r="Q207" s="35"/>
      <c r="R207" s="35"/>
      <c r="S207" s="58"/>
      <c r="T207" s="58"/>
    </row>
    <row r="208" spans="1:20" s="15" customFormat="1" ht="26.25" customHeight="1" x14ac:dyDescent="0.2">
      <c r="A208" s="43" t="s">
        <v>627</v>
      </c>
      <c r="B208" s="46" t="s">
        <v>30</v>
      </c>
      <c r="C208" s="44" t="s">
        <v>375</v>
      </c>
      <c r="D208" s="54" t="s">
        <v>662</v>
      </c>
      <c r="E208" s="46" t="s">
        <v>652</v>
      </c>
      <c r="F208" s="35">
        <v>8360</v>
      </c>
      <c r="G208" s="35">
        <v>8360</v>
      </c>
      <c r="H208" s="35">
        <v>0</v>
      </c>
      <c r="I208" s="35">
        <f t="shared" si="9"/>
        <v>8360</v>
      </c>
      <c r="J208" s="36">
        <f t="shared" si="10"/>
        <v>0</v>
      </c>
      <c r="K208" s="48" t="s">
        <v>14</v>
      </c>
      <c r="L208" s="48" t="s">
        <v>14</v>
      </c>
      <c r="M208" s="38">
        <v>43084</v>
      </c>
      <c r="N208" s="48"/>
      <c r="O208" s="35">
        <v>8360</v>
      </c>
      <c r="P208" s="35"/>
      <c r="Q208" s="35"/>
      <c r="R208" s="35"/>
      <c r="S208" s="58"/>
      <c r="T208" s="58"/>
    </row>
    <row r="209" spans="1:20" s="15" customFormat="1" ht="26.25" customHeight="1" x14ac:dyDescent="0.2">
      <c r="A209" s="43" t="s">
        <v>628</v>
      </c>
      <c r="B209" s="46" t="s">
        <v>31</v>
      </c>
      <c r="C209" s="44" t="s">
        <v>642</v>
      </c>
      <c r="D209" s="47">
        <v>13797</v>
      </c>
      <c r="E209" s="46" t="s">
        <v>653</v>
      </c>
      <c r="F209" s="35">
        <f>13500*2</f>
        <v>27000</v>
      </c>
      <c r="G209" s="35">
        <f>13500*2</f>
        <v>27000</v>
      </c>
      <c r="H209" s="35">
        <v>0</v>
      </c>
      <c r="I209" s="35">
        <f t="shared" si="9"/>
        <v>27000</v>
      </c>
      <c r="J209" s="36">
        <f t="shared" si="10"/>
        <v>0</v>
      </c>
      <c r="K209" s="48" t="s">
        <v>14</v>
      </c>
      <c r="L209" s="48" t="s">
        <v>14</v>
      </c>
      <c r="M209" s="38">
        <v>42767</v>
      </c>
      <c r="N209" s="48" t="s">
        <v>18</v>
      </c>
      <c r="O209" s="35">
        <v>13500</v>
      </c>
      <c r="P209" s="35">
        <v>13500</v>
      </c>
      <c r="Q209" s="35"/>
      <c r="R209" s="35"/>
      <c r="S209" s="58"/>
      <c r="T209" s="58"/>
    </row>
    <row r="210" spans="1:20" s="15" customFormat="1" ht="26.25" customHeight="1" x14ac:dyDescent="0.2">
      <c r="A210" s="43" t="s">
        <v>629</v>
      </c>
      <c r="B210" s="46" t="s">
        <v>17</v>
      </c>
      <c r="C210" s="44" t="s">
        <v>643</v>
      </c>
      <c r="D210" s="47">
        <v>13804</v>
      </c>
      <c r="E210" s="46" t="s">
        <v>654</v>
      </c>
      <c r="F210" s="35">
        <f>9540*3</f>
        <v>28620</v>
      </c>
      <c r="G210" s="35">
        <f>9540*3</f>
        <v>28620</v>
      </c>
      <c r="H210" s="35">
        <v>0</v>
      </c>
      <c r="I210" s="35">
        <f t="shared" si="9"/>
        <v>28620</v>
      </c>
      <c r="J210" s="36">
        <f t="shared" si="10"/>
        <v>0</v>
      </c>
      <c r="K210" s="48" t="s">
        <v>14</v>
      </c>
      <c r="L210" s="48" t="s">
        <v>14</v>
      </c>
      <c r="M210" s="38">
        <v>42916</v>
      </c>
      <c r="N210" s="48" t="s">
        <v>18</v>
      </c>
      <c r="O210" s="35">
        <v>9540</v>
      </c>
      <c r="P210" s="35">
        <v>9540</v>
      </c>
      <c r="Q210" s="35">
        <v>9540</v>
      </c>
      <c r="R210" s="35"/>
      <c r="S210" s="58"/>
      <c r="T210" s="58"/>
    </row>
    <row r="211" spans="1:20" s="15" customFormat="1" ht="26.25" customHeight="1" x14ac:dyDescent="0.2">
      <c r="A211" s="43" t="s">
        <v>630</v>
      </c>
      <c r="B211" s="46" t="s">
        <v>26</v>
      </c>
      <c r="C211" s="44" t="s">
        <v>636</v>
      </c>
      <c r="D211" s="54" t="s">
        <v>663</v>
      </c>
      <c r="E211" s="46" t="s">
        <v>655</v>
      </c>
      <c r="F211" s="35">
        <v>12500</v>
      </c>
      <c r="G211" s="35">
        <v>12500</v>
      </c>
      <c r="H211" s="35">
        <v>0</v>
      </c>
      <c r="I211" s="35">
        <f t="shared" si="9"/>
        <v>12500</v>
      </c>
      <c r="J211" s="36">
        <f t="shared" si="10"/>
        <v>0</v>
      </c>
      <c r="K211" s="48" t="s">
        <v>14</v>
      </c>
      <c r="L211" s="48" t="s">
        <v>14</v>
      </c>
      <c r="M211" s="38">
        <v>43281</v>
      </c>
      <c r="N211" s="48"/>
      <c r="O211" s="35">
        <v>12500</v>
      </c>
      <c r="P211" s="35"/>
      <c r="Q211" s="35"/>
      <c r="R211" s="35"/>
      <c r="S211" s="58"/>
      <c r="T211" s="58"/>
    </row>
    <row r="212" spans="1:20" s="15" customFormat="1" ht="26.25" customHeight="1" x14ac:dyDescent="0.2">
      <c r="A212" s="43" t="s">
        <v>631</v>
      </c>
      <c r="B212" s="46" t="s">
        <v>214</v>
      </c>
      <c r="C212" s="44" t="s">
        <v>644</v>
      </c>
      <c r="D212" s="47">
        <v>13829</v>
      </c>
      <c r="E212" s="46" t="s">
        <v>656</v>
      </c>
      <c r="F212" s="35">
        <v>45830</v>
      </c>
      <c r="G212" s="35">
        <v>45830</v>
      </c>
      <c r="H212" s="35">
        <v>0</v>
      </c>
      <c r="I212" s="35">
        <f t="shared" si="9"/>
        <v>45830</v>
      </c>
      <c r="J212" s="36">
        <f t="shared" si="10"/>
        <v>0</v>
      </c>
      <c r="K212" s="48" t="s">
        <v>15</v>
      </c>
      <c r="L212" s="48" t="s">
        <v>15</v>
      </c>
      <c r="M212" s="38">
        <v>43312</v>
      </c>
      <c r="N212" s="48"/>
      <c r="O212" s="35">
        <v>45830</v>
      </c>
      <c r="P212" s="35"/>
      <c r="Q212" s="35"/>
      <c r="R212" s="35"/>
      <c r="S212" s="58"/>
      <c r="T212" s="58"/>
    </row>
    <row r="213" spans="1:20" s="15" customFormat="1" ht="26.25" customHeight="1" x14ac:dyDescent="0.2">
      <c r="A213" s="43" t="s">
        <v>632</v>
      </c>
      <c r="B213" s="46" t="s">
        <v>92</v>
      </c>
      <c r="C213" s="44" t="s">
        <v>645</v>
      </c>
      <c r="D213" s="54" t="s">
        <v>664</v>
      </c>
      <c r="E213" s="46" t="s">
        <v>657</v>
      </c>
      <c r="F213" s="35">
        <v>10000</v>
      </c>
      <c r="G213" s="35">
        <v>7233</v>
      </c>
      <c r="H213" s="35">
        <v>10000</v>
      </c>
      <c r="I213" s="35">
        <f t="shared" si="9"/>
        <v>17233</v>
      </c>
      <c r="J213" s="36">
        <f t="shared" si="10"/>
        <v>1.3825521913452232</v>
      </c>
      <c r="K213" s="48" t="s">
        <v>14</v>
      </c>
      <c r="L213" s="48" t="s">
        <v>14</v>
      </c>
      <c r="M213" s="38">
        <v>42916</v>
      </c>
      <c r="N213" s="48" t="s">
        <v>28</v>
      </c>
      <c r="O213" s="35">
        <v>10000</v>
      </c>
      <c r="P213" s="35"/>
      <c r="Q213" s="35"/>
      <c r="R213" s="35"/>
      <c r="S213" s="58"/>
      <c r="T213" s="58"/>
    </row>
    <row r="214" spans="1:20" s="15" customFormat="1" ht="26.25" customHeight="1" x14ac:dyDescent="0.2">
      <c r="A214" s="43" t="s">
        <v>633</v>
      </c>
      <c r="B214" s="46" t="s">
        <v>36</v>
      </c>
      <c r="C214" s="44" t="s">
        <v>646</v>
      </c>
      <c r="D214" s="47">
        <v>13986</v>
      </c>
      <c r="E214" s="46" t="s">
        <v>658</v>
      </c>
      <c r="F214" s="35">
        <v>45000</v>
      </c>
      <c r="G214" s="35">
        <v>45000</v>
      </c>
      <c r="H214" s="35"/>
      <c r="I214" s="35">
        <f t="shared" si="9"/>
        <v>45000</v>
      </c>
      <c r="J214" s="36">
        <f t="shared" si="10"/>
        <v>0</v>
      </c>
      <c r="K214" s="48" t="s">
        <v>14</v>
      </c>
      <c r="L214" s="48" t="s">
        <v>14</v>
      </c>
      <c r="M214" s="38">
        <v>43830</v>
      </c>
      <c r="N214" s="48"/>
      <c r="O214" s="35">
        <v>45000</v>
      </c>
      <c r="P214" s="35"/>
      <c r="Q214" s="35"/>
      <c r="R214" s="35"/>
      <c r="S214" s="58"/>
      <c r="T214" s="58"/>
    </row>
    <row r="215" spans="1:20" s="15" customFormat="1" ht="26.25" customHeight="1" x14ac:dyDescent="0.2">
      <c r="A215" s="43" t="s">
        <v>671</v>
      </c>
      <c r="B215" s="46" t="s">
        <v>92</v>
      </c>
      <c r="C215" s="44" t="s">
        <v>673</v>
      </c>
      <c r="D215" s="54" t="s">
        <v>675</v>
      </c>
      <c r="E215" s="46" t="s">
        <v>676</v>
      </c>
      <c r="F215" s="35">
        <v>50000</v>
      </c>
      <c r="G215" s="35">
        <f>25000+30000+25000</f>
        <v>80000</v>
      </c>
      <c r="H215" s="35">
        <v>50000</v>
      </c>
      <c r="I215" s="35">
        <f t="shared" si="9"/>
        <v>130000</v>
      </c>
      <c r="J215" s="36">
        <f t="shared" si="10"/>
        <v>0.625</v>
      </c>
      <c r="K215" s="48" t="s">
        <v>14</v>
      </c>
      <c r="L215" s="48" t="s">
        <v>14</v>
      </c>
      <c r="M215" s="38">
        <v>42916</v>
      </c>
      <c r="N215" s="48" t="s">
        <v>28</v>
      </c>
      <c r="O215" s="35">
        <v>50000</v>
      </c>
      <c r="P215" s="35"/>
      <c r="Q215" s="35"/>
      <c r="R215" s="35"/>
      <c r="S215" s="58"/>
      <c r="T215" s="58"/>
    </row>
    <row r="216" spans="1:20" s="15" customFormat="1" ht="26.25" customHeight="1" x14ac:dyDescent="0.2">
      <c r="A216" s="43" t="s">
        <v>672</v>
      </c>
      <c r="B216" s="46" t="s">
        <v>92</v>
      </c>
      <c r="C216" s="44" t="s">
        <v>674</v>
      </c>
      <c r="D216" s="47">
        <v>13827</v>
      </c>
      <c r="E216" s="46" t="s">
        <v>677</v>
      </c>
      <c r="F216" s="35">
        <v>92651</v>
      </c>
      <c r="G216" s="35">
        <v>92651</v>
      </c>
      <c r="H216" s="35">
        <v>0</v>
      </c>
      <c r="I216" s="35">
        <f t="shared" si="9"/>
        <v>92651</v>
      </c>
      <c r="J216" s="36">
        <f t="shared" si="10"/>
        <v>0</v>
      </c>
      <c r="K216" s="48" t="s">
        <v>14</v>
      </c>
      <c r="L216" s="48" t="s">
        <v>15</v>
      </c>
      <c r="M216" s="38">
        <v>42916</v>
      </c>
      <c r="N216" s="48"/>
      <c r="O216" s="35">
        <v>92651</v>
      </c>
      <c r="P216" s="35"/>
      <c r="Q216" s="35"/>
      <c r="R216" s="35"/>
      <c r="S216" s="58"/>
      <c r="T216" s="58"/>
    </row>
    <row r="217" spans="1:20" s="15" customFormat="1" ht="26.25" customHeight="1" x14ac:dyDescent="0.2">
      <c r="A217" s="43" t="s">
        <v>678</v>
      </c>
      <c r="B217" s="46" t="s">
        <v>21</v>
      </c>
      <c r="C217" s="44" t="s">
        <v>684</v>
      </c>
      <c r="D217" s="47">
        <v>13388</v>
      </c>
      <c r="E217" s="46" t="s">
        <v>681</v>
      </c>
      <c r="F217" s="35">
        <f>98000*3</f>
        <v>294000</v>
      </c>
      <c r="G217" s="35">
        <f>98000*3</f>
        <v>294000</v>
      </c>
      <c r="H217" s="35">
        <v>0</v>
      </c>
      <c r="I217" s="35">
        <f t="shared" si="9"/>
        <v>294000</v>
      </c>
      <c r="J217" s="36">
        <f t="shared" si="10"/>
        <v>0</v>
      </c>
      <c r="K217" s="48" t="s">
        <v>14</v>
      </c>
      <c r="L217" s="48" t="s">
        <v>14</v>
      </c>
      <c r="M217" s="38">
        <v>42916</v>
      </c>
      <c r="N217" s="48" t="s">
        <v>18</v>
      </c>
      <c r="O217" s="35">
        <v>98000</v>
      </c>
      <c r="P217" s="35">
        <v>98000</v>
      </c>
      <c r="Q217" s="35">
        <v>98000</v>
      </c>
      <c r="R217" s="35"/>
      <c r="S217" s="58"/>
      <c r="T217" s="58"/>
    </row>
    <row r="218" spans="1:20" s="15" customFormat="1" ht="26.25" customHeight="1" x14ac:dyDescent="0.2">
      <c r="A218" s="43" t="s">
        <v>679</v>
      </c>
      <c r="B218" s="46" t="s">
        <v>26</v>
      </c>
      <c r="C218" s="44" t="s">
        <v>27</v>
      </c>
      <c r="D218" s="54" t="s">
        <v>685</v>
      </c>
      <c r="E218" s="46" t="s">
        <v>682</v>
      </c>
      <c r="F218" s="35">
        <v>65000</v>
      </c>
      <c r="G218" s="35">
        <f>5000+50000+44000+34000</f>
        <v>133000</v>
      </c>
      <c r="H218" s="35">
        <v>65000</v>
      </c>
      <c r="I218" s="35">
        <f t="shared" si="9"/>
        <v>198000</v>
      </c>
      <c r="J218" s="36">
        <f t="shared" si="10"/>
        <v>0.48872180451127817</v>
      </c>
      <c r="K218" s="48" t="s">
        <v>14</v>
      </c>
      <c r="L218" s="48" t="s">
        <v>14</v>
      </c>
      <c r="M218" s="38">
        <v>43281</v>
      </c>
      <c r="N218" s="48" t="s">
        <v>28</v>
      </c>
      <c r="O218" s="35">
        <v>65000</v>
      </c>
      <c r="P218" s="35"/>
      <c r="Q218" s="35"/>
      <c r="R218" s="35"/>
      <c r="S218" s="58"/>
      <c r="T218" s="58"/>
    </row>
    <row r="219" spans="1:20" s="15" customFormat="1" ht="26.25" customHeight="1" x14ac:dyDescent="0.2">
      <c r="A219" s="43" t="s">
        <v>680</v>
      </c>
      <c r="B219" s="46" t="s">
        <v>21</v>
      </c>
      <c r="C219" s="44" t="s">
        <v>345</v>
      </c>
      <c r="D219" s="47">
        <v>13871</v>
      </c>
      <c r="E219" s="46" t="s">
        <v>683</v>
      </c>
      <c r="F219" s="35">
        <v>72246</v>
      </c>
      <c r="G219" s="35">
        <v>72246</v>
      </c>
      <c r="H219" s="35">
        <v>0</v>
      </c>
      <c r="I219" s="35">
        <f t="shared" si="9"/>
        <v>72246</v>
      </c>
      <c r="J219" s="36">
        <f t="shared" si="10"/>
        <v>0</v>
      </c>
      <c r="K219" s="48" t="s">
        <v>14</v>
      </c>
      <c r="L219" s="48" t="s">
        <v>15</v>
      </c>
      <c r="M219" s="38">
        <v>42916</v>
      </c>
      <c r="N219" s="48"/>
      <c r="O219" s="35">
        <v>72246</v>
      </c>
      <c r="P219" s="35"/>
      <c r="Q219" s="35"/>
      <c r="R219" s="35"/>
      <c r="S219" s="58"/>
      <c r="T219" s="58"/>
    </row>
    <row r="220" spans="1:20" s="15" customFormat="1" ht="26.25" customHeight="1" x14ac:dyDescent="0.2">
      <c r="A220" s="43" t="s">
        <v>686</v>
      </c>
      <c r="B220" s="46" t="s">
        <v>21</v>
      </c>
      <c r="C220" s="44" t="s">
        <v>691</v>
      </c>
      <c r="D220" s="47">
        <v>13229</v>
      </c>
      <c r="E220" s="46" t="s">
        <v>702</v>
      </c>
      <c r="F220" s="35">
        <v>49500</v>
      </c>
      <c r="G220" s="35">
        <v>49500</v>
      </c>
      <c r="H220" s="35">
        <v>0</v>
      </c>
      <c r="I220" s="35">
        <f t="shared" si="9"/>
        <v>49500</v>
      </c>
      <c r="J220" s="36">
        <f t="shared" si="10"/>
        <v>0</v>
      </c>
      <c r="K220" s="48" t="s">
        <v>15</v>
      </c>
      <c r="L220" s="48" t="s">
        <v>15</v>
      </c>
      <c r="M220" s="38">
        <v>42958</v>
      </c>
      <c r="N220" s="48"/>
      <c r="O220" s="35">
        <v>49500</v>
      </c>
      <c r="P220" s="35"/>
      <c r="Q220" s="35"/>
      <c r="R220" s="35"/>
      <c r="S220" s="58"/>
      <c r="T220" s="58"/>
    </row>
    <row r="221" spans="1:20" s="15" customFormat="1" ht="26.25" customHeight="1" x14ac:dyDescent="0.2">
      <c r="A221" s="43" t="s">
        <v>687</v>
      </c>
      <c r="B221" s="46" t="s">
        <v>20</v>
      </c>
      <c r="C221" s="44" t="s">
        <v>692</v>
      </c>
      <c r="D221" s="47">
        <v>13814</v>
      </c>
      <c r="E221" s="46" t="s">
        <v>698</v>
      </c>
      <c r="F221" s="35">
        <f>10000*3</f>
        <v>30000</v>
      </c>
      <c r="G221" s="35">
        <f>10000*3</f>
        <v>30000</v>
      </c>
      <c r="H221" s="35">
        <v>0</v>
      </c>
      <c r="I221" s="35">
        <f t="shared" si="9"/>
        <v>30000</v>
      </c>
      <c r="J221" s="36">
        <f t="shared" si="10"/>
        <v>0</v>
      </c>
      <c r="K221" s="48" t="s">
        <v>14</v>
      </c>
      <c r="L221" s="48" t="s">
        <v>15</v>
      </c>
      <c r="M221" s="38">
        <v>42916</v>
      </c>
      <c r="N221" s="48" t="s">
        <v>18</v>
      </c>
      <c r="O221" s="35">
        <v>10000</v>
      </c>
      <c r="P221" s="35">
        <v>10000</v>
      </c>
      <c r="Q221" s="35">
        <v>10000</v>
      </c>
      <c r="R221" s="35"/>
      <c r="S221" s="58"/>
      <c r="T221" s="58"/>
    </row>
    <row r="222" spans="1:20" s="15" customFormat="1" ht="26.25" customHeight="1" x14ac:dyDescent="0.2">
      <c r="A222" s="43" t="s">
        <v>688</v>
      </c>
      <c r="B222" s="46" t="s">
        <v>17</v>
      </c>
      <c r="C222" s="44" t="s">
        <v>693</v>
      </c>
      <c r="D222" s="54" t="s">
        <v>696</v>
      </c>
      <c r="E222" s="46" t="s">
        <v>699</v>
      </c>
      <c r="F222" s="35">
        <v>5000</v>
      </c>
      <c r="G222" s="35">
        <v>25000</v>
      </c>
      <c r="H222" s="35">
        <v>5000</v>
      </c>
      <c r="I222" s="35">
        <f t="shared" si="9"/>
        <v>30000</v>
      </c>
      <c r="J222" s="36">
        <f t="shared" si="10"/>
        <v>0.2</v>
      </c>
      <c r="K222" s="48" t="s">
        <v>14</v>
      </c>
      <c r="L222" s="48" t="s">
        <v>14</v>
      </c>
      <c r="M222" s="38">
        <v>42916</v>
      </c>
      <c r="N222" s="48" t="s">
        <v>28</v>
      </c>
      <c r="O222" s="35">
        <v>5000</v>
      </c>
      <c r="P222" s="35"/>
      <c r="Q222" s="35"/>
      <c r="R222" s="35"/>
      <c r="S222" s="58"/>
      <c r="T222" s="58"/>
    </row>
    <row r="223" spans="1:20" s="15" customFormat="1" ht="26.25" customHeight="1" x14ac:dyDescent="0.2">
      <c r="A223" s="43" t="s">
        <v>689</v>
      </c>
      <c r="B223" s="46" t="s">
        <v>474</v>
      </c>
      <c r="C223" s="44" t="s">
        <v>694</v>
      </c>
      <c r="D223" s="54" t="s">
        <v>697</v>
      </c>
      <c r="E223" s="46" t="s">
        <v>700</v>
      </c>
      <c r="F223" s="35">
        <v>44500</v>
      </c>
      <c r="G223" s="35">
        <v>44500</v>
      </c>
      <c r="H223" s="35">
        <v>0</v>
      </c>
      <c r="I223" s="35">
        <f t="shared" si="9"/>
        <v>44500</v>
      </c>
      <c r="J223" s="36">
        <f t="shared" si="10"/>
        <v>0</v>
      </c>
      <c r="K223" s="48" t="s">
        <v>14</v>
      </c>
      <c r="L223" s="48" t="s">
        <v>14</v>
      </c>
      <c r="M223" s="38">
        <v>42916</v>
      </c>
      <c r="N223" s="48"/>
      <c r="O223" s="35">
        <v>44500</v>
      </c>
      <c r="P223" s="35"/>
      <c r="Q223" s="35"/>
      <c r="R223" s="35"/>
      <c r="S223" s="58"/>
      <c r="T223" s="58"/>
    </row>
    <row r="224" spans="1:20" s="15" customFormat="1" ht="26.25" customHeight="1" x14ac:dyDescent="0.2">
      <c r="A224" s="43" t="s">
        <v>690</v>
      </c>
      <c r="B224" s="46" t="s">
        <v>20</v>
      </c>
      <c r="C224" s="44" t="s">
        <v>695</v>
      </c>
      <c r="D224" s="47">
        <v>13899</v>
      </c>
      <c r="E224" s="46" t="s">
        <v>701</v>
      </c>
      <c r="F224" s="35">
        <f>10000*3</f>
        <v>30000</v>
      </c>
      <c r="G224" s="35">
        <f>10000*3</f>
        <v>30000</v>
      </c>
      <c r="H224" s="35">
        <v>0</v>
      </c>
      <c r="I224" s="35">
        <f t="shared" si="9"/>
        <v>30000</v>
      </c>
      <c r="J224" s="36">
        <f t="shared" si="10"/>
        <v>0</v>
      </c>
      <c r="K224" s="48" t="s">
        <v>14</v>
      </c>
      <c r="L224" s="48" t="s">
        <v>14</v>
      </c>
      <c r="M224" s="38">
        <v>42916</v>
      </c>
      <c r="N224" s="48" t="s">
        <v>18</v>
      </c>
      <c r="O224" s="35">
        <v>10000</v>
      </c>
      <c r="P224" s="35">
        <v>10000</v>
      </c>
      <c r="Q224" s="35">
        <v>10000</v>
      </c>
      <c r="R224" s="35"/>
      <c r="S224" s="58"/>
      <c r="T224" s="58"/>
    </row>
    <row r="225" spans="1:20" s="15" customFormat="1" ht="26.25" customHeight="1" x14ac:dyDescent="0.2">
      <c r="A225" s="43" t="s">
        <v>703</v>
      </c>
      <c r="B225" s="46" t="s">
        <v>19</v>
      </c>
      <c r="C225" s="44" t="s">
        <v>713</v>
      </c>
      <c r="D225" s="47">
        <v>13624</v>
      </c>
      <c r="E225" s="46" t="s">
        <v>720</v>
      </c>
      <c r="F225" s="35">
        <v>17915</v>
      </c>
      <c r="G225" s="35">
        <v>17915</v>
      </c>
      <c r="H225" s="35">
        <v>0</v>
      </c>
      <c r="I225" s="35">
        <f t="shared" si="9"/>
        <v>17915</v>
      </c>
      <c r="J225" s="36">
        <f t="shared" si="10"/>
        <v>0</v>
      </c>
      <c r="K225" s="48" t="s">
        <v>14</v>
      </c>
      <c r="L225" s="48" t="s">
        <v>14</v>
      </c>
      <c r="M225" s="38">
        <v>42659</v>
      </c>
      <c r="N225" s="48"/>
      <c r="O225" s="35">
        <v>17915</v>
      </c>
      <c r="P225" s="35"/>
      <c r="Q225" s="35"/>
      <c r="R225" s="35"/>
      <c r="S225" s="58"/>
      <c r="T225" s="58"/>
    </row>
    <row r="226" spans="1:20" s="15" customFormat="1" ht="26.25" customHeight="1" x14ac:dyDescent="0.2">
      <c r="A226" s="43" t="s">
        <v>704</v>
      </c>
      <c r="B226" s="46" t="s">
        <v>19</v>
      </c>
      <c r="C226" s="44" t="s">
        <v>589</v>
      </c>
      <c r="D226" s="47">
        <v>13629</v>
      </c>
      <c r="E226" s="46" t="s">
        <v>721</v>
      </c>
      <c r="F226" s="35">
        <v>38950</v>
      </c>
      <c r="G226" s="35">
        <v>38950</v>
      </c>
      <c r="H226" s="35">
        <v>0</v>
      </c>
      <c r="I226" s="35">
        <f t="shared" si="9"/>
        <v>38950</v>
      </c>
      <c r="J226" s="36">
        <f t="shared" si="10"/>
        <v>0</v>
      </c>
      <c r="K226" s="48" t="s">
        <v>14</v>
      </c>
      <c r="L226" s="48" t="s">
        <v>14</v>
      </c>
      <c r="M226" s="38">
        <v>42659</v>
      </c>
      <c r="N226" s="48"/>
      <c r="O226" s="35">
        <v>38950</v>
      </c>
      <c r="P226" s="35"/>
      <c r="Q226" s="35"/>
      <c r="R226" s="35"/>
      <c r="S226" s="58"/>
      <c r="T226" s="58"/>
    </row>
    <row r="227" spans="1:20" s="15" customFormat="1" ht="26.25" customHeight="1" x14ac:dyDescent="0.2">
      <c r="A227" s="43" t="s">
        <v>705</v>
      </c>
      <c r="B227" s="46" t="s">
        <v>19</v>
      </c>
      <c r="C227" s="44" t="s">
        <v>714</v>
      </c>
      <c r="D227" s="47">
        <v>13856</v>
      </c>
      <c r="E227" s="46" t="s">
        <v>722</v>
      </c>
      <c r="F227" s="35">
        <v>20000</v>
      </c>
      <c r="G227" s="35">
        <v>20000</v>
      </c>
      <c r="H227" s="35">
        <v>0</v>
      </c>
      <c r="I227" s="35">
        <f t="shared" si="9"/>
        <v>20000</v>
      </c>
      <c r="J227" s="36">
        <f t="shared" si="10"/>
        <v>0</v>
      </c>
      <c r="K227" s="48" t="s">
        <v>14</v>
      </c>
      <c r="L227" s="48" t="s">
        <v>14</v>
      </c>
      <c r="M227" s="38">
        <v>42752</v>
      </c>
      <c r="N227" s="48"/>
      <c r="O227" s="35">
        <v>20000</v>
      </c>
      <c r="P227" s="35"/>
      <c r="Q227" s="35"/>
      <c r="R227" s="35"/>
      <c r="S227" s="58"/>
      <c r="T227" s="58"/>
    </row>
    <row r="228" spans="1:20" s="15" customFormat="1" ht="26.25" customHeight="1" x14ac:dyDescent="0.2">
      <c r="A228" s="43" t="s">
        <v>706</v>
      </c>
      <c r="B228" s="46" t="s">
        <v>214</v>
      </c>
      <c r="C228" s="44" t="s">
        <v>715</v>
      </c>
      <c r="D228" s="47">
        <v>13859</v>
      </c>
      <c r="E228" s="46" t="s">
        <v>723</v>
      </c>
      <c r="F228" s="35">
        <v>49000</v>
      </c>
      <c r="G228" s="35">
        <v>49000</v>
      </c>
      <c r="H228" s="35">
        <v>0</v>
      </c>
      <c r="I228" s="35">
        <f t="shared" si="9"/>
        <v>49000</v>
      </c>
      <c r="J228" s="36">
        <f t="shared" si="10"/>
        <v>0</v>
      </c>
      <c r="K228" s="48" t="s">
        <v>14</v>
      </c>
      <c r="L228" s="48" t="s">
        <v>14</v>
      </c>
      <c r="M228" s="38">
        <v>43100</v>
      </c>
      <c r="N228" s="48"/>
      <c r="O228" s="35">
        <v>49000</v>
      </c>
      <c r="P228" s="35"/>
      <c r="Q228" s="35"/>
      <c r="R228" s="35"/>
      <c r="S228" s="58"/>
      <c r="T228" s="58"/>
    </row>
    <row r="229" spans="1:20" s="15" customFormat="1" ht="26.25" customHeight="1" x14ac:dyDescent="0.2">
      <c r="A229" s="43" t="s">
        <v>707</v>
      </c>
      <c r="B229" s="46" t="s">
        <v>19</v>
      </c>
      <c r="C229" s="44" t="s">
        <v>716</v>
      </c>
      <c r="D229" s="47">
        <v>13862</v>
      </c>
      <c r="E229" s="46" t="s">
        <v>724</v>
      </c>
      <c r="F229" s="35">
        <v>18128</v>
      </c>
      <c r="G229" s="35">
        <v>18128</v>
      </c>
      <c r="H229" s="35">
        <v>0</v>
      </c>
      <c r="I229" s="35">
        <f t="shared" si="9"/>
        <v>18128</v>
      </c>
      <c r="J229" s="36">
        <f t="shared" si="10"/>
        <v>0</v>
      </c>
      <c r="K229" s="48" t="s">
        <v>14</v>
      </c>
      <c r="L229" s="48" t="s">
        <v>14</v>
      </c>
      <c r="M229" s="38">
        <v>42752</v>
      </c>
      <c r="N229" s="48"/>
      <c r="O229" s="35">
        <v>18128</v>
      </c>
      <c r="P229" s="35"/>
      <c r="Q229" s="35"/>
      <c r="R229" s="35"/>
      <c r="S229" s="58"/>
      <c r="T229" s="58"/>
    </row>
    <row r="230" spans="1:20" s="15" customFormat="1" ht="26.25" customHeight="1" x14ac:dyDescent="0.2">
      <c r="A230" s="43" t="s">
        <v>708</v>
      </c>
      <c r="B230" s="46" t="s">
        <v>92</v>
      </c>
      <c r="C230" s="44" t="s">
        <v>82</v>
      </c>
      <c r="D230" s="47">
        <v>13863</v>
      </c>
      <c r="E230" s="46" t="s">
        <v>725</v>
      </c>
      <c r="F230" s="35">
        <v>21839</v>
      </c>
      <c r="G230" s="35">
        <v>21839</v>
      </c>
      <c r="H230" s="35">
        <v>0</v>
      </c>
      <c r="I230" s="35">
        <f t="shared" si="9"/>
        <v>21839</v>
      </c>
      <c r="J230" s="36">
        <f t="shared" si="10"/>
        <v>0</v>
      </c>
      <c r="K230" s="48" t="s">
        <v>14</v>
      </c>
      <c r="L230" s="48" t="s">
        <v>15</v>
      </c>
      <c r="M230" s="38">
        <v>42916</v>
      </c>
      <c r="N230" s="48"/>
      <c r="O230" s="35">
        <v>21839</v>
      </c>
      <c r="P230" s="35"/>
      <c r="Q230" s="35"/>
      <c r="R230" s="35"/>
      <c r="S230" s="58"/>
      <c r="T230" s="58"/>
    </row>
    <row r="231" spans="1:20" s="15" customFormat="1" ht="26.25" customHeight="1" x14ac:dyDescent="0.2">
      <c r="A231" s="43" t="s">
        <v>709</v>
      </c>
      <c r="B231" s="46" t="s">
        <v>21</v>
      </c>
      <c r="C231" s="44" t="s">
        <v>262</v>
      </c>
      <c r="D231" s="47">
        <v>13866</v>
      </c>
      <c r="E231" s="46" t="s">
        <v>726</v>
      </c>
      <c r="F231" s="35">
        <v>30000</v>
      </c>
      <c r="G231" s="35">
        <v>30000</v>
      </c>
      <c r="H231" s="35">
        <v>0</v>
      </c>
      <c r="I231" s="35">
        <f t="shared" si="9"/>
        <v>30000</v>
      </c>
      <c r="J231" s="36">
        <f t="shared" si="10"/>
        <v>0</v>
      </c>
      <c r="K231" s="48" t="s">
        <v>14</v>
      </c>
      <c r="L231" s="48" t="s">
        <v>14</v>
      </c>
      <c r="M231" s="38">
        <v>42916</v>
      </c>
      <c r="N231" s="48"/>
      <c r="O231" s="35">
        <v>30000</v>
      </c>
      <c r="P231" s="35"/>
      <c r="Q231" s="35"/>
      <c r="R231" s="35"/>
      <c r="S231" s="58"/>
      <c r="T231" s="58"/>
    </row>
    <row r="232" spans="1:20" s="15" customFormat="1" ht="26.25" customHeight="1" x14ac:dyDescent="0.2">
      <c r="A232" s="43" t="s">
        <v>710</v>
      </c>
      <c r="B232" s="46" t="s">
        <v>30</v>
      </c>
      <c r="C232" s="44" t="s">
        <v>717</v>
      </c>
      <c r="D232" s="47">
        <v>13906</v>
      </c>
      <c r="E232" s="46" t="s">
        <v>727</v>
      </c>
      <c r="F232" s="35">
        <v>25000</v>
      </c>
      <c r="G232" s="35">
        <v>25000</v>
      </c>
      <c r="H232" s="35">
        <v>0</v>
      </c>
      <c r="I232" s="35">
        <f t="shared" si="9"/>
        <v>25000</v>
      </c>
      <c r="J232" s="36">
        <f t="shared" si="10"/>
        <v>0</v>
      </c>
      <c r="K232" s="48" t="s">
        <v>14</v>
      </c>
      <c r="L232" s="48" t="s">
        <v>14</v>
      </c>
      <c r="M232" s="38">
        <v>43112</v>
      </c>
      <c r="N232" s="48"/>
      <c r="O232" s="35">
        <v>25000</v>
      </c>
      <c r="P232" s="35"/>
      <c r="Q232" s="35"/>
      <c r="R232" s="35"/>
      <c r="S232" s="58"/>
      <c r="T232" s="58"/>
    </row>
    <row r="233" spans="1:20" s="15" customFormat="1" ht="26.25" customHeight="1" x14ac:dyDescent="0.2">
      <c r="A233" s="43" t="s">
        <v>711</v>
      </c>
      <c r="B233" s="46" t="s">
        <v>69</v>
      </c>
      <c r="C233" s="44" t="s">
        <v>718</v>
      </c>
      <c r="D233" s="47">
        <v>13921</v>
      </c>
      <c r="E233" s="46" t="s">
        <v>728</v>
      </c>
      <c r="F233" s="35">
        <f>30999*3</f>
        <v>92997</v>
      </c>
      <c r="G233" s="35">
        <f>30999*3</f>
        <v>92997</v>
      </c>
      <c r="H233" s="35">
        <v>0</v>
      </c>
      <c r="I233" s="35">
        <f t="shared" si="9"/>
        <v>92997</v>
      </c>
      <c r="J233" s="36">
        <f t="shared" si="10"/>
        <v>0</v>
      </c>
      <c r="K233" s="48" t="s">
        <v>14</v>
      </c>
      <c r="L233" s="48" t="s">
        <v>14</v>
      </c>
      <c r="M233" s="38">
        <v>42910</v>
      </c>
      <c r="N233" s="48" t="s">
        <v>18</v>
      </c>
      <c r="O233" s="35">
        <v>30999</v>
      </c>
      <c r="P233" s="35">
        <v>30999</v>
      </c>
      <c r="Q233" s="35">
        <v>30999</v>
      </c>
      <c r="R233" s="35"/>
      <c r="S233" s="58"/>
      <c r="T233" s="58"/>
    </row>
    <row r="234" spans="1:20" s="15" customFormat="1" ht="26.25" customHeight="1" x14ac:dyDescent="0.2">
      <c r="A234" s="43" t="s">
        <v>712</v>
      </c>
      <c r="B234" s="46" t="s">
        <v>19</v>
      </c>
      <c r="C234" s="44" t="s">
        <v>719</v>
      </c>
      <c r="D234" s="47">
        <v>13946</v>
      </c>
      <c r="E234" s="46" t="s">
        <v>729</v>
      </c>
      <c r="F234" s="35">
        <v>6000</v>
      </c>
      <c r="G234" s="35">
        <v>6000</v>
      </c>
      <c r="H234" s="35">
        <v>0</v>
      </c>
      <c r="I234" s="35">
        <f t="shared" si="9"/>
        <v>6000</v>
      </c>
      <c r="J234" s="36">
        <f t="shared" si="10"/>
        <v>0</v>
      </c>
      <c r="K234" s="48" t="s">
        <v>14</v>
      </c>
      <c r="L234" s="48" t="s">
        <v>14</v>
      </c>
      <c r="M234" s="38">
        <v>42777</v>
      </c>
      <c r="N234" s="48"/>
      <c r="O234" s="35">
        <v>6000</v>
      </c>
      <c r="P234" s="35"/>
      <c r="Q234" s="35"/>
      <c r="R234" s="35"/>
      <c r="S234" s="58"/>
      <c r="T234" s="58"/>
    </row>
    <row r="235" spans="1:20" s="15" customFormat="1" ht="26.25" customHeight="1" x14ac:dyDescent="0.2">
      <c r="A235" s="43" t="s">
        <v>730</v>
      </c>
      <c r="B235" s="46" t="s">
        <v>19</v>
      </c>
      <c r="C235" s="44" t="s">
        <v>529</v>
      </c>
      <c r="D235" s="47">
        <v>13631</v>
      </c>
      <c r="E235" s="46" t="s">
        <v>745</v>
      </c>
      <c r="F235" s="35">
        <v>80000</v>
      </c>
      <c r="G235" s="35">
        <v>80000</v>
      </c>
      <c r="H235" s="35">
        <v>0</v>
      </c>
      <c r="I235" s="35">
        <f t="shared" si="9"/>
        <v>80000</v>
      </c>
      <c r="J235" s="36">
        <f t="shared" si="10"/>
        <v>0</v>
      </c>
      <c r="K235" s="48" t="s">
        <v>14</v>
      </c>
      <c r="L235" s="48" t="s">
        <v>14</v>
      </c>
      <c r="M235" s="38">
        <v>42659</v>
      </c>
      <c r="N235" s="48"/>
      <c r="O235" s="35">
        <v>80000</v>
      </c>
      <c r="P235" s="35"/>
      <c r="Q235" s="35"/>
      <c r="R235" s="35"/>
      <c r="S235" s="58"/>
      <c r="T235" s="58"/>
    </row>
    <row r="236" spans="1:20" s="15" customFormat="1" ht="26.25" customHeight="1" x14ac:dyDescent="0.2">
      <c r="A236" s="43" t="s">
        <v>731</v>
      </c>
      <c r="B236" s="46" t="s">
        <v>69</v>
      </c>
      <c r="C236" s="44" t="s">
        <v>578</v>
      </c>
      <c r="D236" s="47">
        <v>13771</v>
      </c>
      <c r="E236" s="46" t="s">
        <v>746</v>
      </c>
      <c r="F236" s="35">
        <f>52440+55000+58000</f>
        <v>165440</v>
      </c>
      <c r="G236" s="35">
        <f>52440+55000+58000</f>
        <v>165440</v>
      </c>
      <c r="H236" s="35">
        <v>0</v>
      </c>
      <c r="I236" s="35">
        <f t="shared" si="9"/>
        <v>165440</v>
      </c>
      <c r="J236" s="36">
        <f t="shared" si="10"/>
        <v>0</v>
      </c>
      <c r="K236" s="48" t="s">
        <v>14</v>
      </c>
      <c r="L236" s="48" t="s">
        <v>14</v>
      </c>
      <c r="M236" s="38">
        <v>43085</v>
      </c>
      <c r="N236" s="48" t="s">
        <v>18</v>
      </c>
      <c r="O236" s="35">
        <v>52440</v>
      </c>
      <c r="P236" s="35">
        <v>55000</v>
      </c>
      <c r="Q236" s="35">
        <v>58000</v>
      </c>
      <c r="R236" s="35"/>
      <c r="S236" s="58"/>
      <c r="T236" s="58"/>
    </row>
    <row r="237" spans="1:20" s="15" customFormat="1" ht="26.25" customHeight="1" x14ac:dyDescent="0.2">
      <c r="A237" s="43" t="s">
        <v>732</v>
      </c>
      <c r="B237" s="46" t="s">
        <v>30</v>
      </c>
      <c r="C237" s="44" t="s">
        <v>739</v>
      </c>
      <c r="D237" s="54" t="s">
        <v>743</v>
      </c>
      <c r="E237" s="46" t="s">
        <v>747</v>
      </c>
      <c r="F237" s="35">
        <v>38180</v>
      </c>
      <c r="G237" s="35">
        <v>46850</v>
      </c>
      <c r="H237" s="35">
        <v>38180</v>
      </c>
      <c r="I237" s="35">
        <f t="shared" si="9"/>
        <v>85030</v>
      </c>
      <c r="J237" s="36">
        <f t="shared" si="10"/>
        <v>0.81494130202774817</v>
      </c>
      <c r="K237" s="48" t="s">
        <v>14</v>
      </c>
      <c r="L237" s="48" t="s">
        <v>14</v>
      </c>
      <c r="M237" s="38">
        <v>42825</v>
      </c>
      <c r="N237" s="48" t="s">
        <v>28</v>
      </c>
      <c r="O237" s="35">
        <v>38180</v>
      </c>
      <c r="P237" s="35"/>
      <c r="Q237" s="35"/>
      <c r="R237" s="35"/>
      <c r="S237" s="58"/>
      <c r="T237" s="58"/>
    </row>
    <row r="238" spans="1:20" s="15" customFormat="1" ht="26.25" customHeight="1" x14ac:dyDescent="0.2">
      <c r="A238" s="43" t="s">
        <v>733</v>
      </c>
      <c r="B238" s="46" t="s">
        <v>26</v>
      </c>
      <c r="C238" s="44" t="s">
        <v>740</v>
      </c>
      <c r="D238" s="54" t="s">
        <v>744</v>
      </c>
      <c r="E238" s="46" t="s">
        <v>748</v>
      </c>
      <c r="F238" s="35">
        <v>25000</v>
      </c>
      <c r="G238" s="35">
        <v>50000</v>
      </c>
      <c r="H238" s="35">
        <v>25000</v>
      </c>
      <c r="I238" s="35">
        <f t="shared" si="9"/>
        <v>75000</v>
      </c>
      <c r="J238" s="36">
        <f t="shared" si="10"/>
        <v>0.5</v>
      </c>
      <c r="K238" s="48" t="s">
        <v>14</v>
      </c>
      <c r="L238" s="48" t="s">
        <v>14</v>
      </c>
      <c r="M238" s="38">
        <v>43281</v>
      </c>
      <c r="N238" s="48" t="s">
        <v>28</v>
      </c>
      <c r="O238" s="35">
        <v>25000</v>
      </c>
      <c r="P238" s="35"/>
      <c r="Q238" s="35"/>
      <c r="R238" s="35"/>
      <c r="S238" s="58"/>
      <c r="T238" s="58"/>
    </row>
    <row r="239" spans="1:20" s="15" customFormat="1" ht="26.25" customHeight="1" x14ac:dyDescent="0.2">
      <c r="A239" s="43" t="s">
        <v>734</v>
      </c>
      <c r="B239" s="46" t="s">
        <v>21</v>
      </c>
      <c r="C239" s="44" t="s">
        <v>511</v>
      </c>
      <c r="D239" s="47">
        <v>13883</v>
      </c>
      <c r="E239" s="46" t="s">
        <v>751</v>
      </c>
      <c r="F239" s="35">
        <f>90000*3</f>
        <v>270000</v>
      </c>
      <c r="G239" s="35">
        <f>90000*3</f>
        <v>270000</v>
      </c>
      <c r="H239" s="35">
        <v>0</v>
      </c>
      <c r="I239" s="35">
        <f t="shared" si="9"/>
        <v>270000</v>
      </c>
      <c r="J239" s="36">
        <f t="shared" si="10"/>
        <v>0</v>
      </c>
      <c r="K239" s="48" t="s">
        <v>15</v>
      </c>
      <c r="L239" s="48" t="s">
        <v>15</v>
      </c>
      <c r="M239" s="38">
        <v>43190</v>
      </c>
      <c r="N239" s="48" t="s">
        <v>18</v>
      </c>
      <c r="O239" s="35">
        <v>90000</v>
      </c>
      <c r="P239" s="35">
        <v>90000</v>
      </c>
      <c r="Q239" s="35">
        <v>90000</v>
      </c>
      <c r="R239" s="35"/>
      <c r="S239" s="58"/>
      <c r="T239" s="58"/>
    </row>
    <row r="240" spans="1:20" s="15" customFormat="1" ht="18" customHeight="1" x14ac:dyDescent="0.2">
      <c r="A240" s="43" t="s">
        <v>735</v>
      </c>
      <c r="B240" s="46" t="s">
        <v>21</v>
      </c>
      <c r="C240" s="44" t="s">
        <v>741</v>
      </c>
      <c r="D240" s="47">
        <v>13889</v>
      </c>
      <c r="E240" s="46" t="s">
        <v>749</v>
      </c>
      <c r="F240" s="35">
        <f>50000*3</f>
        <v>150000</v>
      </c>
      <c r="G240" s="35">
        <f>50000*3</f>
        <v>150000</v>
      </c>
      <c r="H240" s="35">
        <v>0</v>
      </c>
      <c r="I240" s="35">
        <f t="shared" si="9"/>
        <v>150000</v>
      </c>
      <c r="J240" s="36">
        <f t="shared" si="10"/>
        <v>0</v>
      </c>
      <c r="K240" s="48" t="s">
        <v>14</v>
      </c>
      <c r="L240" s="48" t="s">
        <v>14</v>
      </c>
      <c r="M240" s="38">
        <v>42916</v>
      </c>
      <c r="N240" s="48" t="s">
        <v>18</v>
      </c>
      <c r="O240" s="35">
        <v>50000</v>
      </c>
      <c r="P240" s="35">
        <v>50000</v>
      </c>
      <c r="Q240" s="35">
        <v>50000</v>
      </c>
      <c r="R240" s="35"/>
      <c r="S240" s="58"/>
      <c r="T240" s="58"/>
    </row>
    <row r="241" spans="1:20" s="15" customFormat="1" ht="26.25" customHeight="1" x14ac:dyDescent="0.2">
      <c r="A241" s="43" t="s">
        <v>736</v>
      </c>
      <c r="B241" s="46" t="s">
        <v>738</v>
      </c>
      <c r="C241" s="44" t="s">
        <v>742</v>
      </c>
      <c r="D241" s="47">
        <v>13992</v>
      </c>
      <c r="E241" s="46" t="s">
        <v>750</v>
      </c>
      <c r="F241" s="35">
        <v>96000</v>
      </c>
      <c r="G241" s="35">
        <v>96000</v>
      </c>
      <c r="H241" s="35">
        <v>0</v>
      </c>
      <c r="I241" s="35">
        <f t="shared" si="9"/>
        <v>96000</v>
      </c>
      <c r="J241" s="36">
        <f t="shared" si="10"/>
        <v>0</v>
      </c>
      <c r="K241" s="48" t="s">
        <v>14</v>
      </c>
      <c r="L241" s="48" t="s">
        <v>14</v>
      </c>
      <c r="M241" s="38">
        <v>43099</v>
      </c>
      <c r="N241" s="48"/>
      <c r="O241" s="35">
        <v>96000</v>
      </c>
      <c r="P241" s="35"/>
      <c r="Q241" s="35"/>
      <c r="R241" s="35"/>
      <c r="S241" s="58"/>
      <c r="T241" s="58"/>
    </row>
    <row r="242" spans="1:20" s="15" customFormat="1" ht="26.25" customHeight="1" x14ac:dyDescent="0.2">
      <c r="A242" s="43" t="s">
        <v>737</v>
      </c>
      <c r="B242" s="46" t="s">
        <v>69</v>
      </c>
      <c r="C242" s="44" t="s">
        <v>507</v>
      </c>
      <c r="D242" s="47">
        <v>13993</v>
      </c>
      <c r="E242" s="46" t="s">
        <v>752</v>
      </c>
      <c r="F242" s="35">
        <f>12750+13000+14000</f>
        <v>39750</v>
      </c>
      <c r="G242" s="35">
        <f>12750+13000+14000</f>
        <v>39750</v>
      </c>
      <c r="H242" s="35">
        <v>0</v>
      </c>
      <c r="I242" s="35">
        <f t="shared" si="9"/>
        <v>39750</v>
      </c>
      <c r="J242" s="36">
        <f t="shared" si="10"/>
        <v>0</v>
      </c>
      <c r="K242" s="48" t="s">
        <v>14</v>
      </c>
      <c r="L242" s="48" t="s">
        <v>14</v>
      </c>
      <c r="M242" s="38">
        <v>42673</v>
      </c>
      <c r="N242" s="48" t="s">
        <v>18</v>
      </c>
      <c r="O242" s="35">
        <v>12750</v>
      </c>
      <c r="P242" s="35">
        <v>13000</v>
      </c>
      <c r="Q242" s="35">
        <v>14000</v>
      </c>
      <c r="R242" s="35"/>
      <c r="S242" s="58"/>
      <c r="T242" s="58"/>
    </row>
    <row r="243" spans="1:20" s="15" customFormat="1" ht="26.25" customHeight="1" x14ac:dyDescent="0.2">
      <c r="A243" s="43" t="s">
        <v>753</v>
      </c>
      <c r="B243" s="46" t="s">
        <v>35</v>
      </c>
      <c r="C243" s="44" t="s">
        <v>400</v>
      </c>
      <c r="D243" s="47">
        <v>13898</v>
      </c>
      <c r="E243" s="46" t="s">
        <v>402</v>
      </c>
      <c r="F243" s="35">
        <v>18000</v>
      </c>
      <c r="G243" s="35">
        <v>18000</v>
      </c>
      <c r="H243" s="35">
        <v>0</v>
      </c>
      <c r="I243" s="35">
        <f t="shared" si="9"/>
        <v>18000</v>
      </c>
      <c r="J243" s="36">
        <f t="shared" si="10"/>
        <v>0</v>
      </c>
      <c r="K243" s="48" t="s">
        <v>15</v>
      </c>
      <c r="L243" s="48" t="s">
        <v>15</v>
      </c>
      <c r="M243" s="38">
        <v>43191</v>
      </c>
      <c r="N243" s="48"/>
      <c r="O243" s="35">
        <v>18000</v>
      </c>
      <c r="P243" s="35"/>
      <c r="Q243" s="35"/>
      <c r="R243" s="35"/>
      <c r="S243" s="58"/>
      <c r="T243" s="58"/>
    </row>
    <row r="244" spans="1:20" s="15" customFormat="1" ht="26.25" customHeight="1" x14ac:dyDescent="0.2">
      <c r="A244" s="43" t="s">
        <v>754</v>
      </c>
      <c r="B244" s="46" t="s">
        <v>19</v>
      </c>
      <c r="C244" s="44" t="s">
        <v>768</v>
      </c>
      <c r="D244" s="47">
        <v>14044</v>
      </c>
      <c r="E244" s="46" t="s">
        <v>779</v>
      </c>
      <c r="F244" s="35">
        <v>25000</v>
      </c>
      <c r="G244" s="35">
        <v>25000</v>
      </c>
      <c r="H244" s="35">
        <v>0</v>
      </c>
      <c r="I244" s="35">
        <f t="shared" si="9"/>
        <v>25000</v>
      </c>
      <c r="J244" s="36">
        <f t="shared" si="10"/>
        <v>0</v>
      </c>
      <c r="K244" s="48" t="s">
        <v>14</v>
      </c>
      <c r="L244" s="48" t="s">
        <v>14</v>
      </c>
      <c r="M244" s="38">
        <v>42916</v>
      </c>
      <c r="N244" s="48"/>
      <c r="O244" s="35">
        <v>25000</v>
      </c>
      <c r="P244" s="35"/>
      <c r="Q244" s="35"/>
      <c r="R244" s="35"/>
      <c r="S244" s="58"/>
      <c r="T244" s="58"/>
    </row>
    <row r="245" spans="1:20" s="15" customFormat="1" ht="26.25" customHeight="1" x14ac:dyDescent="0.2">
      <c r="A245" s="43" t="s">
        <v>755</v>
      </c>
      <c r="B245" s="46" t="s">
        <v>766</v>
      </c>
      <c r="C245" s="44" t="s">
        <v>769</v>
      </c>
      <c r="D245" s="47">
        <v>13952</v>
      </c>
      <c r="E245" s="46" t="s">
        <v>780</v>
      </c>
      <c r="F245" s="35">
        <v>6250</v>
      </c>
      <c r="G245" s="35">
        <v>6250</v>
      </c>
      <c r="H245" s="35">
        <v>0</v>
      </c>
      <c r="I245" s="35">
        <f t="shared" si="9"/>
        <v>6250</v>
      </c>
      <c r="J245" s="36">
        <f t="shared" si="10"/>
        <v>0</v>
      </c>
      <c r="K245" s="48" t="s">
        <v>14</v>
      </c>
      <c r="L245" s="48" t="s">
        <v>14</v>
      </c>
      <c r="M245" s="38">
        <v>42916</v>
      </c>
      <c r="N245" s="48"/>
      <c r="O245" s="35">
        <v>6250</v>
      </c>
      <c r="P245" s="35"/>
      <c r="Q245" s="35"/>
      <c r="R245" s="35"/>
      <c r="S245" s="58"/>
      <c r="T245" s="58"/>
    </row>
    <row r="246" spans="1:20" s="15" customFormat="1" ht="26.25" customHeight="1" x14ac:dyDescent="0.2">
      <c r="A246" s="43" t="s">
        <v>756</v>
      </c>
      <c r="B246" s="46" t="s">
        <v>69</v>
      </c>
      <c r="C246" s="44" t="s">
        <v>770</v>
      </c>
      <c r="D246" s="54" t="s">
        <v>777</v>
      </c>
      <c r="E246" s="46" t="s">
        <v>781</v>
      </c>
      <c r="F246" s="35">
        <f>702+5400+5400</f>
        <v>11502</v>
      </c>
      <c r="G246" s="35">
        <v>4698</v>
      </c>
      <c r="H246" s="35">
        <f>702+5400+5400</f>
        <v>11502</v>
      </c>
      <c r="I246" s="35">
        <f t="shared" si="9"/>
        <v>16200</v>
      </c>
      <c r="J246" s="36">
        <f t="shared" si="10"/>
        <v>2.4482758620689653</v>
      </c>
      <c r="K246" s="48" t="s">
        <v>14</v>
      </c>
      <c r="L246" s="48" t="s">
        <v>14</v>
      </c>
      <c r="M246" s="38">
        <v>43100</v>
      </c>
      <c r="N246" s="48" t="s">
        <v>28</v>
      </c>
      <c r="O246" s="35">
        <v>702</v>
      </c>
      <c r="P246" s="35">
        <v>5400</v>
      </c>
      <c r="Q246" s="35">
        <v>5400</v>
      </c>
      <c r="R246" s="35"/>
      <c r="S246" s="58"/>
      <c r="T246" s="58"/>
    </row>
    <row r="247" spans="1:20" s="15" customFormat="1" ht="26.25" customHeight="1" x14ac:dyDescent="0.2">
      <c r="A247" s="43" t="s">
        <v>757</v>
      </c>
      <c r="B247" s="46" t="s">
        <v>19</v>
      </c>
      <c r="C247" s="44" t="s">
        <v>771</v>
      </c>
      <c r="D247" s="54" t="s">
        <v>778</v>
      </c>
      <c r="E247" s="46" t="s">
        <v>782</v>
      </c>
      <c r="F247" s="35">
        <v>3050</v>
      </c>
      <c r="G247" s="35">
        <v>7084</v>
      </c>
      <c r="H247" s="35">
        <v>3050</v>
      </c>
      <c r="I247" s="35">
        <f t="shared" si="9"/>
        <v>10134</v>
      </c>
      <c r="J247" s="36">
        <f t="shared" si="10"/>
        <v>0.43054771315640883</v>
      </c>
      <c r="K247" s="48" t="s">
        <v>14</v>
      </c>
      <c r="L247" s="48" t="s">
        <v>14</v>
      </c>
      <c r="M247" s="38">
        <v>42916</v>
      </c>
      <c r="N247" s="48" t="s">
        <v>28</v>
      </c>
      <c r="O247" s="35">
        <v>3050</v>
      </c>
      <c r="P247" s="35"/>
      <c r="Q247" s="35"/>
      <c r="R247" s="35"/>
      <c r="S247" s="58"/>
      <c r="T247" s="58"/>
    </row>
    <row r="248" spans="1:20" s="15" customFormat="1" ht="26.25" customHeight="1" x14ac:dyDescent="0.2">
      <c r="A248" s="43" t="s">
        <v>758</v>
      </c>
      <c r="B248" s="46" t="s">
        <v>92</v>
      </c>
      <c r="C248" s="44" t="s">
        <v>479</v>
      </c>
      <c r="D248" s="47">
        <v>14016</v>
      </c>
      <c r="E248" s="46" t="s">
        <v>783</v>
      </c>
      <c r="F248" s="35">
        <v>7230</v>
      </c>
      <c r="G248" s="35">
        <v>7230</v>
      </c>
      <c r="H248" s="35">
        <v>0</v>
      </c>
      <c r="I248" s="35">
        <f t="shared" si="9"/>
        <v>7230</v>
      </c>
      <c r="J248" s="36">
        <f t="shared" si="10"/>
        <v>0</v>
      </c>
      <c r="K248" s="48" t="s">
        <v>14</v>
      </c>
      <c r="L248" s="48" t="s">
        <v>15</v>
      </c>
      <c r="M248" s="38">
        <v>42916</v>
      </c>
      <c r="N248" s="48"/>
      <c r="O248" s="35">
        <v>7230</v>
      </c>
      <c r="P248" s="35"/>
      <c r="Q248" s="35"/>
      <c r="R248" s="35"/>
      <c r="S248" s="58"/>
      <c r="T248" s="58"/>
    </row>
    <row r="249" spans="1:20" s="15" customFormat="1" ht="26.25" customHeight="1" x14ac:dyDescent="0.2">
      <c r="A249" s="43" t="s">
        <v>759</v>
      </c>
      <c r="B249" s="46" t="s">
        <v>21</v>
      </c>
      <c r="C249" s="44" t="s">
        <v>772</v>
      </c>
      <c r="D249" s="47">
        <v>14020</v>
      </c>
      <c r="E249" s="46" t="s">
        <v>784</v>
      </c>
      <c r="F249" s="35">
        <v>25000</v>
      </c>
      <c r="G249" s="35">
        <v>25000</v>
      </c>
      <c r="H249" s="35">
        <v>0</v>
      </c>
      <c r="I249" s="35">
        <f t="shared" si="9"/>
        <v>25000</v>
      </c>
      <c r="J249" s="36">
        <f t="shared" si="10"/>
        <v>0</v>
      </c>
      <c r="K249" s="48" t="s">
        <v>14</v>
      </c>
      <c r="L249" s="48" t="s">
        <v>14</v>
      </c>
      <c r="M249" s="38">
        <v>42916</v>
      </c>
      <c r="N249" s="48"/>
      <c r="O249" s="35">
        <v>25000</v>
      </c>
      <c r="P249" s="35"/>
      <c r="Q249" s="35"/>
      <c r="R249" s="35"/>
      <c r="S249" s="58"/>
      <c r="T249" s="58"/>
    </row>
    <row r="250" spans="1:20" s="15" customFormat="1" ht="26.25" customHeight="1" x14ac:dyDescent="0.2">
      <c r="A250" s="43" t="s">
        <v>760</v>
      </c>
      <c r="B250" s="46" t="s">
        <v>19</v>
      </c>
      <c r="C250" s="44" t="s">
        <v>773</v>
      </c>
      <c r="D250" s="47">
        <v>14036</v>
      </c>
      <c r="E250" s="46" t="s">
        <v>785</v>
      </c>
      <c r="F250" s="35">
        <v>5855</v>
      </c>
      <c r="G250" s="35">
        <v>5855</v>
      </c>
      <c r="H250" s="35">
        <v>0</v>
      </c>
      <c r="I250" s="35">
        <f t="shared" si="9"/>
        <v>5855</v>
      </c>
      <c r="J250" s="36">
        <f t="shared" si="10"/>
        <v>0</v>
      </c>
      <c r="K250" s="48" t="s">
        <v>14</v>
      </c>
      <c r="L250" s="48" t="s">
        <v>14</v>
      </c>
      <c r="M250" s="38">
        <v>42916</v>
      </c>
      <c r="N250" s="48"/>
      <c r="O250" s="35">
        <v>5855</v>
      </c>
      <c r="P250" s="35"/>
      <c r="Q250" s="35"/>
      <c r="R250" s="35"/>
      <c r="S250" s="58"/>
      <c r="T250" s="58"/>
    </row>
    <row r="251" spans="1:20" s="15" customFormat="1" ht="26.25" customHeight="1" x14ac:dyDescent="0.2">
      <c r="A251" s="43" t="s">
        <v>761</v>
      </c>
      <c r="B251" s="46" t="s">
        <v>19</v>
      </c>
      <c r="C251" s="44" t="s">
        <v>774</v>
      </c>
      <c r="D251" s="47">
        <v>14046</v>
      </c>
      <c r="E251" s="46" t="s">
        <v>786</v>
      </c>
      <c r="F251" s="35">
        <v>27846</v>
      </c>
      <c r="G251" s="35">
        <v>27846</v>
      </c>
      <c r="H251" s="35">
        <v>0</v>
      </c>
      <c r="I251" s="35">
        <f t="shared" si="9"/>
        <v>27846</v>
      </c>
      <c r="J251" s="36">
        <f t="shared" si="10"/>
        <v>0</v>
      </c>
      <c r="K251" s="48" t="s">
        <v>14</v>
      </c>
      <c r="L251" s="48" t="s">
        <v>14</v>
      </c>
      <c r="M251" s="38">
        <v>42946</v>
      </c>
      <c r="N251" s="48"/>
      <c r="O251" s="35">
        <v>27846</v>
      </c>
      <c r="P251" s="35"/>
      <c r="Q251" s="35"/>
      <c r="R251" s="35"/>
      <c r="S251" s="58"/>
      <c r="T251" s="58"/>
    </row>
    <row r="252" spans="1:20" s="15" customFormat="1" ht="26.25" customHeight="1" x14ac:dyDescent="0.2">
      <c r="A252" s="43" t="s">
        <v>762</v>
      </c>
      <c r="B252" s="46" t="s">
        <v>19</v>
      </c>
      <c r="C252" s="44" t="s">
        <v>637</v>
      </c>
      <c r="D252" s="47">
        <v>14058</v>
      </c>
      <c r="E252" s="46" t="s">
        <v>787</v>
      </c>
      <c r="F252" s="35">
        <v>14375</v>
      </c>
      <c r="G252" s="35">
        <v>14375</v>
      </c>
      <c r="H252" s="35">
        <v>0</v>
      </c>
      <c r="I252" s="35">
        <f t="shared" si="9"/>
        <v>14375</v>
      </c>
      <c r="J252" s="36">
        <f t="shared" si="10"/>
        <v>0</v>
      </c>
      <c r="K252" s="48" t="s">
        <v>14</v>
      </c>
      <c r="L252" s="48" t="s">
        <v>14</v>
      </c>
      <c r="M252" s="38">
        <v>42916</v>
      </c>
      <c r="N252" s="48"/>
      <c r="O252" s="35">
        <v>14375</v>
      </c>
      <c r="P252" s="35"/>
      <c r="Q252" s="35"/>
      <c r="R252" s="35"/>
      <c r="S252" s="58"/>
      <c r="T252" s="58"/>
    </row>
    <row r="253" spans="1:20" s="15" customFormat="1" ht="26.25" customHeight="1" x14ac:dyDescent="0.2">
      <c r="A253" s="43" t="s">
        <v>763</v>
      </c>
      <c r="B253" s="46" t="s">
        <v>92</v>
      </c>
      <c r="C253" s="44" t="s">
        <v>82</v>
      </c>
      <c r="D253" s="47">
        <v>14062</v>
      </c>
      <c r="E253" s="46" t="s">
        <v>788</v>
      </c>
      <c r="F253" s="35">
        <v>6275</v>
      </c>
      <c r="G253" s="35">
        <v>6275</v>
      </c>
      <c r="H253" s="35">
        <v>0</v>
      </c>
      <c r="I253" s="35">
        <f t="shared" si="9"/>
        <v>6275</v>
      </c>
      <c r="J253" s="36">
        <f t="shared" si="10"/>
        <v>0</v>
      </c>
      <c r="K253" s="48" t="s">
        <v>14</v>
      </c>
      <c r="L253" s="48" t="s">
        <v>14</v>
      </c>
      <c r="M253" s="38">
        <v>42916</v>
      </c>
      <c r="N253" s="48"/>
      <c r="O253" s="35">
        <v>6275</v>
      </c>
      <c r="P253" s="35"/>
      <c r="Q253" s="35"/>
      <c r="R253" s="35"/>
      <c r="S253" s="58"/>
      <c r="T253" s="58"/>
    </row>
    <row r="254" spans="1:20" s="15" customFormat="1" ht="18" customHeight="1" x14ac:dyDescent="0.2">
      <c r="A254" s="43" t="s">
        <v>764</v>
      </c>
      <c r="B254" s="46" t="s">
        <v>30</v>
      </c>
      <c r="C254" s="44" t="s">
        <v>775</v>
      </c>
      <c r="D254" s="47">
        <v>14065</v>
      </c>
      <c r="E254" s="46" t="s">
        <v>790</v>
      </c>
      <c r="F254" s="35">
        <v>8310</v>
      </c>
      <c r="G254" s="35">
        <v>8310</v>
      </c>
      <c r="H254" s="35">
        <v>0</v>
      </c>
      <c r="I254" s="35">
        <f t="shared" si="9"/>
        <v>8310</v>
      </c>
      <c r="J254" s="36">
        <f t="shared" si="10"/>
        <v>0</v>
      </c>
      <c r="K254" s="48" t="s">
        <v>14</v>
      </c>
      <c r="L254" s="48" t="s">
        <v>14</v>
      </c>
      <c r="M254" s="38">
        <v>42853</v>
      </c>
      <c r="N254" s="48"/>
      <c r="O254" s="35">
        <v>8310</v>
      </c>
      <c r="P254" s="35"/>
      <c r="Q254" s="35"/>
      <c r="R254" s="35"/>
      <c r="S254" s="58"/>
      <c r="T254" s="58"/>
    </row>
    <row r="255" spans="1:20" s="15" customFormat="1" ht="26.25" customHeight="1" x14ac:dyDescent="0.2">
      <c r="A255" s="43" t="s">
        <v>765</v>
      </c>
      <c r="B255" s="46" t="s">
        <v>767</v>
      </c>
      <c r="C255" s="44" t="s">
        <v>776</v>
      </c>
      <c r="D255" s="47">
        <v>14068</v>
      </c>
      <c r="E255" s="46" t="s">
        <v>791</v>
      </c>
      <c r="F255" s="35">
        <v>7500</v>
      </c>
      <c r="G255" s="35">
        <v>7500</v>
      </c>
      <c r="H255" s="35">
        <v>0</v>
      </c>
      <c r="I255" s="35">
        <f t="shared" si="9"/>
        <v>7500</v>
      </c>
      <c r="J255" s="36">
        <f t="shared" si="10"/>
        <v>0</v>
      </c>
      <c r="K255" s="48" t="s">
        <v>14</v>
      </c>
      <c r="L255" s="48" t="s">
        <v>14</v>
      </c>
      <c r="M255" s="38">
        <v>42916</v>
      </c>
      <c r="N255" s="48"/>
      <c r="O255" s="35">
        <v>7500</v>
      </c>
      <c r="P255" s="35"/>
      <c r="Q255" s="35"/>
      <c r="R255" s="35"/>
      <c r="S255" s="58"/>
      <c r="T255" s="58"/>
    </row>
    <row r="256" spans="1:20" s="15" customFormat="1" ht="26.25" customHeight="1" x14ac:dyDescent="0.2">
      <c r="A256" s="43" t="s">
        <v>792</v>
      </c>
      <c r="B256" s="46" t="s">
        <v>19</v>
      </c>
      <c r="C256" s="44" t="s">
        <v>805</v>
      </c>
      <c r="D256" s="47">
        <v>13554</v>
      </c>
      <c r="E256" s="46" t="s">
        <v>807</v>
      </c>
      <c r="F256" s="35">
        <v>37880</v>
      </c>
      <c r="G256" s="35">
        <v>37880</v>
      </c>
      <c r="H256" s="35">
        <v>0</v>
      </c>
      <c r="I256" s="35">
        <f t="shared" si="9"/>
        <v>37880</v>
      </c>
      <c r="J256" s="36">
        <f t="shared" si="10"/>
        <v>0</v>
      </c>
      <c r="K256" s="48" t="s">
        <v>14</v>
      </c>
      <c r="L256" s="48" t="s">
        <v>14</v>
      </c>
      <c r="M256" s="38">
        <v>42680</v>
      </c>
      <c r="N256" s="48"/>
      <c r="O256" s="35">
        <v>37880</v>
      </c>
      <c r="P256" s="35"/>
      <c r="Q256" s="35"/>
      <c r="R256" s="35"/>
      <c r="S256" s="58"/>
      <c r="T256" s="58"/>
    </row>
    <row r="257" spans="1:20" s="15" customFormat="1" ht="26.25" customHeight="1" x14ac:dyDescent="0.2">
      <c r="A257" s="43" t="s">
        <v>793</v>
      </c>
      <c r="B257" s="46" t="s">
        <v>19</v>
      </c>
      <c r="C257" s="44" t="s">
        <v>805</v>
      </c>
      <c r="D257" s="47">
        <v>13623</v>
      </c>
      <c r="E257" s="46" t="s">
        <v>808</v>
      </c>
      <c r="F257" s="35">
        <v>16424</v>
      </c>
      <c r="G257" s="35">
        <v>16424</v>
      </c>
      <c r="H257" s="35">
        <v>0</v>
      </c>
      <c r="I257" s="35">
        <f t="shared" si="9"/>
        <v>16424</v>
      </c>
      <c r="J257" s="36">
        <f t="shared" si="10"/>
        <v>0</v>
      </c>
      <c r="K257" s="48" t="s">
        <v>14</v>
      </c>
      <c r="L257" s="48" t="s">
        <v>14</v>
      </c>
      <c r="M257" s="38">
        <v>42659</v>
      </c>
      <c r="N257" s="48"/>
      <c r="O257" s="35">
        <v>16424</v>
      </c>
      <c r="P257" s="35"/>
      <c r="Q257" s="35"/>
      <c r="R257" s="35"/>
      <c r="S257" s="58"/>
      <c r="T257" s="58"/>
    </row>
    <row r="258" spans="1:20" s="15" customFormat="1" ht="26.25" customHeight="1" x14ac:dyDescent="0.2">
      <c r="A258" s="43" t="s">
        <v>794</v>
      </c>
      <c r="B258" s="46" t="s">
        <v>19</v>
      </c>
      <c r="C258" s="44" t="s">
        <v>805</v>
      </c>
      <c r="D258" s="47">
        <v>13625</v>
      </c>
      <c r="E258" s="46" t="s">
        <v>809</v>
      </c>
      <c r="F258" s="35">
        <v>11098</v>
      </c>
      <c r="G258" s="35">
        <v>11098</v>
      </c>
      <c r="H258" s="35">
        <v>0</v>
      </c>
      <c r="I258" s="35">
        <f t="shared" si="9"/>
        <v>11098</v>
      </c>
      <c r="J258" s="36">
        <f t="shared" si="10"/>
        <v>0</v>
      </c>
      <c r="K258" s="48" t="s">
        <v>14</v>
      </c>
      <c r="L258" s="48" t="s">
        <v>14</v>
      </c>
      <c r="M258" s="38">
        <v>42659</v>
      </c>
      <c r="N258" s="48"/>
      <c r="O258" s="35">
        <v>11098</v>
      </c>
      <c r="P258" s="35"/>
      <c r="Q258" s="35"/>
      <c r="R258" s="35"/>
      <c r="S258" s="58"/>
      <c r="T258" s="58"/>
    </row>
    <row r="259" spans="1:20" s="15" customFormat="1" ht="26.25" customHeight="1" x14ac:dyDescent="0.2">
      <c r="A259" s="43" t="s">
        <v>795</v>
      </c>
      <c r="B259" s="46" t="s">
        <v>19</v>
      </c>
      <c r="C259" s="44" t="s">
        <v>805</v>
      </c>
      <c r="D259" s="47">
        <v>13627</v>
      </c>
      <c r="E259" s="46" t="s">
        <v>810</v>
      </c>
      <c r="F259" s="35">
        <v>35274</v>
      </c>
      <c r="G259" s="35">
        <v>35274</v>
      </c>
      <c r="H259" s="35">
        <v>0</v>
      </c>
      <c r="I259" s="35">
        <f t="shared" si="9"/>
        <v>35274</v>
      </c>
      <c r="J259" s="36">
        <f t="shared" si="10"/>
        <v>0</v>
      </c>
      <c r="K259" s="48" t="s">
        <v>14</v>
      </c>
      <c r="L259" s="48" t="s">
        <v>14</v>
      </c>
      <c r="M259" s="38">
        <v>42659</v>
      </c>
      <c r="N259" s="48"/>
      <c r="O259" s="35">
        <v>35274</v>
      </c>
      <c r="P259" s="35"/>
      <c r="Q259" s="35"/>
      <c r="R259" s="35"/>
      <c r="S259" s="58"/>
      <c r="T259" s="58"/>
    </row>
    <row r="260" spans="1:20" s="15" customFormat="1" ht="26.25" customHeight="1" x14ac:dyDescent="0.2">
      <c r="A260" s="43" t="s">
        <v>796</v>
      </c>
      <c r="B260" s="46" t="s">
        <v>19</v>
      </c>
      <c r="C260" s="44" t="s">
        <v>805</v>
      </c>
      <c r="D260" s="47">
        <v>13628</v>
      </c>
      <c r="E260" s="46" t="s">
        <v>811</v>
      </c>
      <c r="F260" s="35">
        <v>36110</v>
      </c>
      <c r="G260" s="35">
        <v>36110</v>
      </c>
      <c r="H260" s="35">
        <v>0</v>
      </c>
      <c r="I260" s="35">
        <f t="shared" si="9"/>
        <v>36110</v>
      </c>
      <c r="J260" s="36">
        <f t="shared" si="10"/>
        <v>0</v>
      </c>
      <c r="K260" s="48" t="s">
        <v>14</v>
      </c>
      <c r="L260" s="48" t="s">
        <v>14</v>
      </c>
      <c r="M260" s="38">
        <v>42659</v>
      </c>
      <c r="N260" s="48"/>
      <c r="O260" s="35">
        <v>36110</v>
      </c>
      <c r="P260" s="35"/>
      <c r="Q260" s="35"/>
      <c r="R260" s="35"/>
      <c r="S260" s="58"/>
      <c r="T260" s="58"/>
    </row>
    <row r="261" spans="1:20" s="15" customFormat="1" ht="26.25" customHeight="1" x14ac:dyDescent="0.2">
      <c r="A261" s="43" t="s">
        <v>797</v>
      </c>
      <c r="B261" s="46" t="s">
        <v>19</v>
      </c>
      <c r="C261" s="44" t="s">
        <v>46</v>
      </c>
      <c r="D261" s="47">
        <v>13630</v>
      </c>
      <c r="E261" s="46" t="s">
        <v>812</v>
      </c>
      <c r="F261" s="35">
        <v>26010</v>
      </c>
      <c r="G261" s="35">
        <v>26010</v>
      </c>
      <c r="H261" s="35">
        <v>0</v>
      </c>
      <c r="I261" s="35">
        <f t="shared" si="9"/>
        <v>26010</v>
      </c>
      <c r="J261" s="36">
        <f t="shared" si="10"/>
        <v>0</v>
      </c>
      <c r="K261" s="48" t="s">
        <v>14</v>
      </c>
      <c r="L261" s="48" t="s">
        <v>14</v>
      </c>
      <c r="M261" s="38">
        <v>42659</v>
      </c>
      <c r="N261" s="48"/>
      <c r="O261" s="35">
        <v>26010</v>
      </c>
      <c r="P261" s="35"/>
      <c r="Q261" s="35"/>
      <c r="R261" s="35"/>
      <c r="S261" s="58"/>
      <c r="T261" s="58"/>
    </row>
    <row r="262" spans="1:20" s="15" customFormat="1" ht="26.25" customHeight="1" x14ac:dyDescent="0.2">
      <c r="A262" s="43" t="s">
        <v>798</v>
      </c>
      <c r="B262" s="46" t="s">
        <v>19</v>
      </c>
      <c r="C262" s="44" t="s">
        <v>46</v>
      </c>
      <c r="D262" s="47">
        <v>13760</v>
      </c>
      <c r="E262" s="46" t="s">
        <v>813</v>
      </c>
      <c r="F262" s="35">
        <v>20000</v>
      </c>
      <c r="G262" s="35">
        <v>20000</v>
      </c>
      <c r="H262" s="35">
        <v>0</v>
      </c>
      <c r="I262" s="35">
        <f t="shared" si="9"/>
        <v>20000</v>
      </c>
      <c r="J262" s="36">
        <f t="shared" si="10"/>
        <v>0</v>
      </c>
      <c r="K262" s="48" t="s">
        <v>14</v>
      </c>
      <c r="L262" s="48" t="s">
        <v>14</v>
      </c>
      <c r="M262" s="38">
        <v>42916</v>
      </c>
      <c r="N262" s="48"/>
      <c r="O262" s="35">
        <v>20000</v>
      </c>
      <c r="P262" s="35"/>
      <c r="Q262" s="35"/>
      <c r="R262" s="35"/>
      <c r="S262" s="58"/>
      <c r="T262" s="58"/>
    </row>
    <row r="263" spans="1:20" s="15" customFormat="1" ht="18" customHeight="1" x14ac:dyDescent="0.2">
      <c r="A263" s="43" t="s">
        <v>799</v>
      </c>
      <c r="B263" s="46" t="s">
        <v>19</v>
      </c>
      <c r="C263" s="44" t="s">
        <v>46</v>
      </c>
      <c r="D263" s="47">
        <v>13777</v>
      </c>
      <c r="E263" s="46" t="s">
        <v>814</v>
      </c>
      <c r="F263" s="35">
        <v>27030</v>
      </c>
      <c r="G263" s="35">
        <v>27030</v>
      </c>
      <c r="H263" s="35">
        <v>0</v>
      </c>
      <c r="I263" s="35">
        <f t="shared" ref="I263:I270" si="11">G263+H263</f>
        <v>27030</v>
      </c>
      <c r="J263" s="36">
        <f t="shared" ref="J263:J270" si="12">IF(G263=0,100%,(I263-G263)/G263)</f>
        <v>0</v>
      </c>
      <c r="K263" s="48" t="s">
        <v>14</v>
      </c>
      <c r="L263" s="48" t="s">
        <v>14</v>
      </c>
      <c r="M263" s="38">
        <v>42916</v>
      </c>
      <c r="N263" s="48"/>
      <c r="O263" s="35">
        <v>27030</v>
      </c>
      <c r="P263" s="35"/>
      <c r="Q263" s="35"/>
      <c r="R263" s="35"/>
      <c r="S263" s="58"/>
      <c r="T263" s="58"/>
    </row>
    <row r="264" spans="1:20" s="15" customFormat="1" ht="18" customHeight="1" x14ac:dyDescent="0.2">
      <c r="A264" s="43" t="s">
        <v>800</v>
      </c>
      <c r="B264" s="46" t="s">
        <v>19</v>
      </c>
      <c r="C264" s="44" t="s">
        <v>46</v>
      </c>
      <c r="D264" s="47">
        <v>13778</v>
      </c>
      <c r="E264" s="46" t="s">
        <v>815</v>
      </c>
      <c r="F264" s="35">
        <v>27090</v>
      </c>
      <c r="G264" s="35">
        <v>27090</v>
      </c>
      <c r="H264" s="35">
        <v>0</v>
      </c>
      <c r="I264" s="35">
        <f t="shared" si="11"/>
        <v>27090</v>
      </c>
      <c r="J264" s="36">
        <f t="shared" si="12"/>
        <v>0</v>
      </c>
      <c r="K264" s="48" t="s">
        <v>14</v>
      </c>
      <c r="L264" s="48" t="s">
        <v>14</v>
      </c>
      <c r="M264" s="38">
        <v>42916</v>
      </c>
      <c r="N264" s="48"/>
      <c r="O264" s="35">
        <v>27090</v>
      </c>
      <c r="P264" s="35"/>
      <c r="Q264" s="35"/>
      <c r="R264" s="35"/>
      <c r="S264" s="58"/>
      <c r="T264" s="58"/>
    </row>
    <row r="265" spans="1:20" s="15" customFormat="1" ht="26.25" customHeight="1" x14ac:dyDescent="0.2">
      <c r="A265" s="43" t="s">
        <v>801</v>
      </c>
      <c r="B265" s="46" t="s">
        <v>19</v>
      </c>
      <c r="C265" s="44" t="s">
        <v>805</v>
      </c>
      <c r="D265" s="47">
        <v>13880</v>
      </c>
      <c r="E265" s="46" t="s">
        <v>816</v>
      </c>
      <c r="F265" s="35">
        <v>33849</v>
      </c>
      <c r="G265" s="35">
        <v>33849</v>
      </c>
      <c r="H265" s="35">
        <v>0</v>
      </c>
      <c r="I265" s="35">
        <f t="shared" si="11"/>
        <v>33849</v>
      </c>
      <c r="J265" s="36">
        <f t="shared" si="12"/>
        <v>0</v>
      </c>
      <c r="K265" s="48" t="s">
        <v>14</v>
      </c>
      <c r="L265" s="48" t="s">
        <v>14</v>
      </c>
      <c r="M265" s="38">
        <v>42766</v>
      </c>
      <c r="N265" s="48"/>
      <c r="O265" s="35">
        <v>33849</v>
      </c>
      <c r="P265" s="35"/>
      <c r="Q265" s="35"/>
      <c r="R265" s="35"/>
      <c r="S265" s="58"/>
      <c r="T265" s="58"/>
    </row>
    <row r="266" spans="1:20" s="15" customFormat="1" ht="26.25" customHeight="1" x14ac:dyDescent="0.2">
      <c r="A266" s="43" t="s">
        <v>802</v>
      </c>
      <c r="B266" s="46" t="s">
        <v>19</v>
      </c>
      <c r="C266" s="44" t="s">
        <v>46</v>
      </c>
      <c r="D266" s="47">
        <v>13913</v>
      </c>
      <c r="E266" s="46" t="s">
        <v>817</v>
      </c>
      <c r="F266" s="35">
        <v>11375</v>
      </c>
      <c r="G266" s="35">
        <v>11375</v>
      </c>
      <c r="H266" s="35">
        <v>0</v>
      </c>
      <c r="I266" s="35">
        <f t="shared" si="11"/>
        <v>11375</v>
      </c>
      <c r="J266" s="36">
        <f t="shared" si="12"/>
        <v>0</v>
      </c>
      <c r="K266" s="48" t="s">
        <v>14</v>
      </c>
      <c r="L266" s="48" t="s">
        <v>14</v>
      </c>
      <c r="M266" s="38">
        <v>42735</v>
      </c>
      <c r="N266" s="48"/>
      <c r="O266" s="35">
        <v>11375</v>
      </c>
      <c r="P266" s="35"/>
      <c r="Q266" s="35"/>
      <c r="R266" s="35"/>
      <c r="S266" s="58"/>
      <c r="T266" s="58"/>
    </row>
    <row r="267" spans="1:20" s="15" customFormat="1" ht="26.25" customHeight="1" x14ac:dyDescent="0.2">
      <c r="A267" s="43" t="s">
        <v>803</v>
      </c>
      <c r="B267" s="46" t="s">
        <v>19</v>
      </c>
      <c r="C267" s="44" t="s">
        <v>46</v>
      </c>
      <c r="D267" s="47">
        <v>13914</v>
      </c>
      <c r="E267" s="46" t="s">
        <v>818</v>
      </c>
      <c r="F267" s="35">
        <v>12125</v>
      </c>
      <c r="G267" s="35">
        <v>12125</v>
      </c>
      <c r="H267" s="35">
        <v>0</v>
      </c>
      <c r="I267" s="35">
        <f t="shared" si="11"/>
        <v>12125</v>
      </c>
      <c r="J267" s="36">
        <f t="shared" si="12"/>
        <v>0</v>
      </c>
      <c r="K267" s="48" t="s">
        <v>14</v>
      </c>
      <c r="L267" s="48" t="s">
        <v>14</v>
      </c>
      <c r="M267" s="38">
        <v>42735</v>
      </c>
      <c r="N267" s="48"/>
      <c r="O267" s="35">
        <v>12125</v>
      </c>
      <c r="P267" s="35"/>
      <c r="Q267" s="35"/>
      <c r="R267" s="35"/>
      <c r="S267" s="58"/>
      <c r="T267" s="58"/>
    </row>
    <row r="268" spans="1:20" s="15" customFormat="1" ht="26.25" customHeight="1" x14ac:dyDescent="0.2">
      <c r="A268" s="43" t="s">
        <v>804</v>
      </c>
      <c r="B268" s="46" t="s">
        <v>19</v>
      </c>
      <c r="C268" s="44" t="s">
        <v>806</v>
      </c>
      <c r="D268" s="47">
        <v>14078</v>
      </c>
      <c r="E268" s="46" t="s">
        <v>819</v>
      </c>
      <c r="F268" s="35">
        <v>15000</v>
      </c>
      <c r="G268" s="35">
        <v>15000</v>
      </c>
      <c r="H268" s="35">
        <v>0</v>
      </c>
      <c r="I268" s="35">
        <f t="shared" si="11"/>
        <v>15000</v>
      </c>
      <c r="J268" s="36">
        <f t="shared" si="12"/>
        <v>0</v>
      </c>
      <c r="K268" s="48" t="s">
        <v>14</v>
      </c>
      <c r="L268" s="48" t="s">
        <v>14</v>
      </c>
      <c r="M268" s="38">
        <v>42825</v>
      </c>
      <c r="N268" s="48"/>
      <c r="O268" s="35">
        <v>15000</v>
      </c>
      <c r="P268" s="35"/>
      <c r="Q268" s="35"/>
      <c r="R268" s="35"/>
      <c r="S268" s="58"/>
      <c r="T268" s="58"/>
    </row>
    <row r="269" spans="1:20" s="15" customFormat="1" ht="26.25" customHeight="1" x14ac:dyDescent="0.2">
      <c r="A269" s="43" t="s">
        <v>821</v>
      </c>
      <c r="B269" s="46" t="s">
        <v>19</v>
      </c>
      <c r="C269" s="44" t="s">
        <v>46</v>
      </c>
      <c r="D269" s="47">
        <v>13556</v>
      </c>
      <c r="E269" s="46" t="s">
        <v>457</v>
      </c>
      <c r="F269" s="35">
        <v>78750</v>
      </c>
      <c r="G269" s="35">
        <v>78750</v>
      </c>
      <c r="H269" s="35">
        <v>0</v>
      </c>
      <c r="I269" s="35">
        <f t="shared" si="11"/>
        <v>78750</v>
      </c>
      <c r="J269" s="36">
        <f t="shared" si="12"/>
        <v>0</v>
      </c>
      <c r="K269" s="48" t="s">
        <v>14</v>
      </c>
      <c r="L269" s="48" t="s">
        <v>14</v>
      </c>
      <c r="M269" s="38">
        <v>42680</v>
      </c>
      <c r="N269" s="48"/>
      <c r="O269" s="35">
        <v>78750</v>
      </c>
      <c r="P269" s="35"/>
      <c r="Q269" s="35"/>
      <c r="R269" s="35"/>
      <c r="S269" s="58"/>
      <c r="T269" s="58"/>
    </row>
    <row r="270" spans="1:20" s="15" customFormat="1" ht="26.25" customHeight="1" x14ac:dyDescent="0.2">
      <c r="A270" s="43" t="s">
        <v>822</v>
      </c>
      <c r="B270" s="46" t="s">
        <v>19</v>
      </c>
      <c r="C270" s="44" t="s">
        <v>128</v>
      </c>
      <c r="D270" s="47">
        <v>13622</v>
      </c>
      <c r="E270" s="46" t="s">
        <v>824</v>
      </c>
      <c r="F270" s="35">
        <v>50000</v>
      </c>
      <c r="G270" s="35">
        <v>50000</v>
      </c>
      <c r="H270" s="35">
        <v>0</v>
      </c>
      <c r="I270" s="35">
        <f t="shared" si="11"/>
        <v>50000</v>
      </c>
      <c r="J270" s="36">
        <f t="shared" si="12"/>
        <v>0</v>
      </c>
      <c r="K270" s="48" t="s">
        <v>14</v>
      </c>
      <c r="L270" s="48" t="s">
        <v>14</v>
      </c>
      <c r="M270" s="38">
        <v>42659</v>
      </c>
      <c r="N270" s="48"/>
      <c r="O270" s="35">
        <v>50000</v>
      </c>
      <c r="P270" s="35"/>
      <c r="Q270" s="35"/>
      <c r="R270" s="35"/>
      <c r="S270" s="58"/>
      <c r="T270" s="58"/>
    </row>
    <row r="271" spans="1:20" s="15" customFormat="1" ht="18" customHeight="1" x14ac:dyDescent="0.2">
      <c r="A271" s="43" t="s">
        <v>823</v>
      </c>
      <c r="B271" s="46" t="s">
        <v>19</v>
      </c>
      <c r="C271" s="44" t="s">
        <v>46</v>
      </c>
      <c r="D271" s="47">
        <v>13782</v>
      </c>
      <c r="E271" s="46" t="s">
        <v>825</v>
      </c>
      <c r="F271" s="35">
        <v>53000</v>
      </c>
      <c r="G271" s="35">
        <v>53000</v>
      </c>
      <c r="H271" s="35">
        <v>0</v>
      </c>
      <c r="I271" s="35">
        <f>G271+H271</f>
        <v>53000</v>
      </c>
      <c r="J271" s="36">
        <f>IF(G271=0,100%,(I271-G271)/G271)</f>
        <v>0</v>
      </c>
      <c r="K271" s="48" t="s">
        <v>14</v>
      </c>
      <c r="L271" s="48" t="s">
        <v>14</v>
      </c>
      <c r="M271" s="38">
        <v>42916</v>
      </c>
      <c r="N271" s="48"/>
      <c r="O271" s="35">
        <v>53000</v>
      </c>
      <c r="P271" s="35"/>
      <c r="Q271" s="35"/>
      <c r="R271" s="35"/>
      <c r="S271" s="58"/>
      <c r="T271" s="58"/>
    </row>
    <row r="272" spans="1:20" s="15" customFormat="1" ht="26.25" customHeight="1" x14ac:dyDescent="0.2">
      <c r="A272" s="43" t="s">
        <v>826</v>
      </c>
      <c r="B272" s="46" t="s">
        <v>21</v>
      </c>
      <c r="C272" s="44" t="s">
        <v>449</v>
      </c>
      <c r="D272" s="47">
        <v>13512</v>
      </c>
      <c r="E272" s="46" t="s">
        <v>455</v>
      </c>
      <c r="F272" s="35">
        <v>90700</v>
      </c>
      <c r="G272" s="35">
        <v>90700</v>
      </c>
      <c r="H272" s="35">
        <v>0</v>
      </c>
      <c r="I272" s="35">
        <f>G272+H272</f>
        <v>90700</v>
      </c>
      <c r="J272" s="36">
        <f>IF(G272=0,100%,(I272-G272)/G272)</f>
        <v>0</v>
      </c>
      <c r="K272" s="48" t="s">
        <v>14</v>
      </c>
      <c r="L272" s="48" t="s">
        <v>14</v>
      </c>
      <c r="M272" s="38">
        <v>42916</v>
      </c>
      <c r="N272" s="48"/>
      <c r="O272" s="35">
        <v>90700</v>
      </c>
      <c r="P272" s="35"/>
      <c r="Q272" s="35"/>
      <c r="R272" s="35"/>
      <c r="S272" s="58"/>
      <c r="T272" s="58"/>
    </row>
    <row r="273" spans="1:20" s="15" customFormat="1" ht="26.25" customHeight="1" x14ac:dyDescent="0.2">
      <c r="A273" s="43" t="s">
        <v>827</v>
      </c>
      <c r="B273" s="46" t="s">
        <v>30</v>
      </c>
      <c r="C273" s="44" t="s">
        <v>830</v>
      </c>
      <c r="D273" s="47">
        <v>13663</v>
      </c>
      <c r="E273" s="46" t="s">
        <v>833</v>
      </c>
      <c r="F273" s="35">
        <f>90077*3</f>
        <v>270231</v>
      </c>
      <c r="G273" s="35">
        <f>90077*3</f>
        <v>270231</v>
      </c>
      <c r="H273" s="35">
        <v>0</v>
      </c>
      <c r="I273" s="35">
        <f>G273+H273</f>
        <v>270231</v>
      </c>
      <c r="J273" s="36">
        <f>IF(G273=0,100%,(I273-G273)/G273)</f>
        <v>0</v>
      </c>
      <c r="K273" s="48" t="s">
        <v>14</v>
      </c>
      <c r="L273" s="48" t="s">
        <v>15</v>
      </c>
      <c r="M273" s="38">
        <v>43119</v>
      </c>
      <c r="N273" s="48" t="s">
        <v>18</v>
      </c>
      <c r="O273" s="35">
        <v>90077</v>
      </c>
      <c r="P273" s="35">
        <v>90077</v>
      </c>
      <c r="Q273" s="35">
        <v>90077</v>
      </c>
      <c r="R273" s="35"/>
      <c r="S273" s="58"/>
      <c r="T273" s="58"/>
    </row>
    <row r="274" spans="1:20" s="15" customFormat="1" ht="26.25" customHeight="1" x14ac:dyDescent="0.2">
      <c r="A274" s="43" t="s">
        <v>828</v>
      </c>
      <c r="B274" s="46" t="s">
        <v>19</v>
      </c>
      <c r="C274" s="44" t="s">
        <v>831</v>
      </c>
      <c r="D274" s="47">
        <v>13939</v>
      </c>
      <c r="E274" s="46" t="s">
        <v>834</v>
      </c>
      <c r="F274" s="35">
        <v>82500</v>
      </c>
      <c r="G274" s="35">
        <v>82500</v>
      </c>
      <c r="H274" s="35">
        <v>0</v>
      </c>
      <c r="I274" s="35">
        <f>G274+H274</f>
        <v>82500</v>
      </c>
      <c r="J274" s="36">
        <f>IF(G274=0,100%,(I274-G274)/G274)</f>
        <v>0</v>
      </c>
      <c r="K274" s="48" t="s">
        <v>14</v>
      </c>
      <c r="L274" s="48" t="s">
        <v>14</v>
      </c>
      <c r="M274" s="38">
        <v>43281</v>
      </c>
      <c r="N274" s="48"/>
      <c r="O274" s="35">
        <v>82500</v>
      </c>
      <c r="P274" s="35"/>
      <c r="Q274" s="35"/>
      <c r="R274" s="35"/>
      <c r="S274" s="58"/>
      <c r="T274" s="58"/>
    </row>
    <row r="275" spans="1:20" s="15" customFormat="1" ht="18" customHeight="1" x14ac:dyDescent="0.2">
      <c r="A275" s="43" t="s">
        <v>829</v>
      </c>
      <c r="B275" s="46" t="s">
        <v>20</v>
      </c>
      <c r="C275" s="44" t="s">
        <v>832</v>
      </c>
      <c r="D275" s="47">
        <v>14076</v>
      </c>
      <c r="E275" s="46" t="s">
        <v>835</v>
      </c>
      <c r="F275" s="35">
        <f>3*55000</f>
        <v>165000</v>
      </c>
      <c r="G275" s="35">
        <f>3*55000</f>
        <v>165000</v>
      </c>
      <c r="H275" s="35">
        <v>0</v>
      </c>
      <c r="I275" s="35">
        <f>G275+H275</f>
        <v>165000</v>
      </c>
      <c r="J275" s="36">
        <f>IF(G275=0,100%,(I275-G275)/G275)</f>
        <v>0</v>
      </c>
      <c r="K275" s="48" t="s">
        <v>14</v>
      </c>
      <c r="L275" s="48" t="s">
        <v>14</v>
      </c>
      <c r="M275" s="38">
        <v>42916</v>
      </c>
      <c r="N275" s="48" t="s">
        <v>18</v>
      </c>
      <c r="O275" s="35">
        <v>55000</v>
      </c>
      <c r="P275" s="35">
        <v>55000</v>
      </c>
      <c r="Q275" s="35">
        <v>55000</v>
      </c>
      <c r="R275" s="35"/>
      <c r="S275" s="58"/>
      <c r="T275" s="58"/>
    </row>
    <row r="276" spans="1:20" s="15" customFormat="1" ht="26.25" customHeight="1" x14ac:dyDescent="0.2">
      <c r="A276" s="43" t="s">
        <v>836</v>
      </c>
      <c r="B276" s="46" t="s">
        <v>36</v>
      </c>
      <c r="C276" s="44" t="s">
        <v>844</v>
      </c>
      <c r="D276" s="47">
        <v>14005</v>
      </c>
      <c r="E276" s="46" t="s">
        <v>852</v>
      </c>
      <c r="F276" s="35">
        <v>10692</v>
      </c>
      <c r="G276" s="35">
        <v>10692</v>
      </c>
      <c r="H276" s="35">
        <v>0</v>
      </c>
      <c r="I276" s="35">
        <f t="shared" ref="I276:I308" si="13">G276+H276</f>
        <v>10692</v>
      </c>
      <c r="J276" s="36">
        <f t="shared" ref="J276:J308" si="14">IF(G276=0,100%,(I276-G276)/G276)</f>
        <v>0</v>
      </c>
      <c r="K276" s="48" t="s">
        <v>14</v>
      </c>
      <c r="L276" s="48" t="s">
        <v>14</v>
      </c>
      <c r="M276" s="38">
        <v>43891</v>
      </c>
      <c r="N276" s="48"/>
      <c r="O276" s="35">
        <v>10692</v>
      </c>
      <c r="P276" s="35"/>
      <c r="Q276" s="35"/>
      <c r="R276" s="35"/>
      <c r="S276" s="58"/>
      <c r="T276" s="58"/>
    </row>
    <row r="277" spans="1:20" s="15" customFormat="1" ht="26.25" customHeight="1" x14ac:dyDescent="0.2">
      <c r="A277" s="43" t="s">
        <v>837</v>
      </c>
      <c r="B277" s="46" t="s">
        <v>30</v>
      </c>
      <c r="C277" s="44" t="s">
        <v>845</v>
      </c>
      <c r="D277" s="47">
        <v>14097</v>
      </c>
      <c r="E277" s="46" t="s">
        <v>853</v>
      </c>
      <c r="F277" s="35">
        <f>47021*3</f>
        <v>141063</v>
      </c>
      <c r="G277" s="35">
        <f>47021*3</f>
        <v>141063</v>
      </c>
      <c r="H277" s="35">
        <v>0</v>
      </c>
      <c r="I277" s="35">
        <f t="shared" si="13"/>
        <v>141063</v>
      </c>
      <c r="J277" s="36">
        <f t="shared" si="14"/>
        <v>0</v>
      </c>
      <c r="K277" s="48" t="s">
        <v>14</v>
      </c>
      <c r="L277" s="48" t="s">
        <v>15</v>
      </c>
      <c r="M277" s="38">
        <v>43159</v>
      </c>
      <c r="N277" s="48" t="s">
        <v>18</v>
      </c>
      <c r="O277" s="35">
        <v>47021</v>
      </c>
      <c r="P277" s="35">
        <v>47021</v>
      </c>
      <c r="Q277" s="35">
        <v>47021</v>
      </c>
      <c r="R277" s="35"/>
      <c r="S277" s="58"/>
      <c r="T277" s="58"/>
    </row>
    <row r="278" spans="1:20" s="15" customFormat="1" ht="26.25" customHeight="1" x14ac:dyDescent="0.2">
      <c r="A278" s="43" t="s">
        <v>838</v>
      </c>
      <c r="B278" s="46" t="s">
        <v>17</v>
      </c>
      <c r="C278" s="44" t="s">
        <v>846</v>
      </c>
      <c r="D278" s="47">
        <v>14117</v>
      </c>
      <c r="E278" s="46" t="s">
        <v>854</v>
      </c>
      <c r="F278" s="35">
        <v>38500</v>
      </c>
      <c r="G278" s="35">
        <v>38500</v>
      </c>
      <c r="H278" s="35">
        <v>0</v>
      </c>
      <c r="I278" s="35">
        <f t="shared" si="13"/>
        <v>38500</v>
      </c>
      <c r="J278" s="36">
        <f t="shared" si="14"/>
        <v>0</v>
      </c>
      <c r="K278" s="48" t="s">
        <v>14</v>
      </c>
      <c r="L278" s="48" t="s">
        <v>14</v>
      </c>
      <c r="M278" s="38">
        <v>43069</v>
      </c>
      <c r="N278" s="48"/>
      <c r="O278" s="35">
        <v>38500</v>
      </c>
      <c r="P278" s="35"/>
      <c r="Q278" s="35"/>
      <c r="R278" s="35"/>
      <c r="S278" s="58"/>
      <c r="T278" s="58"/>
    </row>
    <row r="279" spans="1:20" s="15" customFormat="1" ht="26.25" customHeight="1" x14ac:dyDescent="0.2">
      <c r="A279" s="43" t="s">
        <v>839</v>
      </c>
      <c r="B279" s="46" t="s">
        <v>21</v>
      </c>
      <c r="C279" s="44" t="s">
        <v>847</v>
      </c>
      <c r="D279" s="47">
        <v>14120</v>
      </c>
      <c r="E279" s="46" t="s">
        <v>855</v>
      </c>
      <c r="F279" s="35">
        <v>15730</v>
      </c>
      <c r="G279" s="35">
        <v>15730</v>
      </c>
      <c r="H279" s="35">
        <v>0</v>
      </c>
      <c r="I279" s="35">
        <f t="shared" si="13"/>
        <v>15730</v>
      </c>
      <c r="J279" s="36">
        <f t="shared" si="14"/>
        <v>0</v>
      </c>
      <c r="K279" s="48" t="s">
        <v>14</v>
      </c>
      <c r="L279" s="48" t="s">
        <v>14</v>
      </c>
      <c r="M279" s="52">
        <v>42947</v>
      </c>
      <c r="N279" s="48"/>
      <c r="O279" s="35">
        <v>15730</v>
      </c>
      <c r="P279" s="35"/>
      <c r="Q279" s="35"/>
      <c r="R279" s="35"/>
      <c r="S279" s="58"/>
      <c r="T279" s="58"/>
    </row>
    <row r="280" spans="1:20" s="15" customFormat="1" ht="26.25" customHeight="1" x14ac:dyDescent="0.2">
      <c r="A280" s="43" t="s">
        <v>840</v>
      </c>
      <c r="B280" s="46" t="s">
        <v>843</v>
      </c>
      <c r="C280" s="44" t="s">
        <v>848</v>
      </c>
      <c r="D280" s="47">
        <v>14130</v>
      </c>
      <c r="E280" s="46" t="s">
        <v>856</v>
      </c>
      <c r="F280" s="35">
        <v>49990</v>
      </c>
      <c r="G280" s="35">
        <v>49990</v>
      </c>
      <c r="H280" s="35">
        <v>0</v>
      </c>
      <c r="I280" s="35">
        <f t="shared" si="13"/>
        <v>49990</v>
      </c>
      <c r="J280" s="36">
        <f t="shared" si="14"/>
        <v>0</v>
      </c>
      <c r="K280" s="48" t="s">
        <v>14</v>
      </c>
      <c r="L280" s="48" t="s">
        <v>14</v>
      </c>
      <c r="M280" s="38">
        <v>42886</v>
      </c>
      <c r="N280" s="48"/>
      <c r="O280" s="35">
        <v>49990</v>
      </c>
      <c r="P280" s="35"/>
      <c r="Q280" s="35"/>
      <c r="R280" s="35"/>
      <c r="S280" s="58"/>
      <c r="T280" s="58"/>
    </row>
    <row r="281" spans="1:20" s="15" customFormat="1" ht="26.25" customHeight="1" x14ac:dyDescent="0.2">
      <c r="A281" s="43" t="s">
        <v>841</v>
      </c>
      <c r="B281" s="46" t="s">
        <v>92</v>
      </c>
      <c r="C281" s="44" t="s">
        <v>849</v>
      </c>
      <c r="D281" s="54" t="s">
        <v>850</v>
      </c>
      <c r="E281" s="46" t="s">
        <v>857</v>
      </c>
      <c r="F281" s="35">
        <v>29000</v>
      </c>
      <c r="G281" s="35">
        <v>70000</v>
      </c>
      <c r="H281" s="35">
        <f>25000+70000+29000</f>
        <v>124000</v>
      </c>
      <c r="I281" s="35">
        <f t="shared" si="13"/>
        <v>194000</v>
      </c>
      <c r="J281" s="36">
        <f t="shared" si="14"/>
        <v>1.7714285714285714</v>
      </c>
      <c r="K281" s="48" t="s">
        <v>14</v>
      </c>
      <c r="L281" s="48" t="s">
        <v>14</v>
      </c>
      <c r="M281" s="38">
        <v>42916</v>
      </c>
      <c r="N281" s="48" t="s">
        <v>28</v>
      </c>
      <c r="O281" s="35">
        <v>29000</v>
      </c>
      <c r="P281" s="35"/>
      <c r="Q281" s="35"/>
      <c r="R281" s="35"/>
      <c r="S281" s="58"/>
      <c r="T281" s="58"/>
    </row>
    <row r="282" spans="1:20" s="15" customFormat="1" ht="26.25" customHeight="1" x14ac:dyDescent="0.2">
      <c r="A282" s="43" t="s">
        <v>842</v>
      </c>
      <c r="B282" s="46" t="s">
        <v>31</v>
      </c>
      <c r="C282" s="44" t="s">
        <v>253</v>
      </c>
      <c r="D282" s="54" t="s">
        <v>851</v>
      </c>
      <c r="E282" s="46" t="s">
        <v>858</v>
      </c>
      <c r="F282" s="35">
        <f>21000*3</f>
        <v>63000</v>
      </c>
      <c r="G282" s="35">
        <v>14500</v>
      </c>
      <c r="H282" s="35">
        <f>21000*3</f>
        <v>63000</v>
      </c>
      <c r="I282" s="35">
        <f t="shared" si="13"/>
        <v>77500</v>
      </c>
      <c r="J282" s="36">
        <f t="shared" si="14"/>
        <v>4.3448275862068968</v>
      </c>
      <c r="K282" s="48" t="s">
        <v>14</v>
      </c>
      <c r="L282" s="48" t="s">
        <v>14</v>
      </c>
      <c r="M282" s="38">
        <v>42916</v>
      </c>
      <c r="N282" s="48" t="s">
        <v>28</v>
      </c>
      <c r="O282" s="35">
        <v>21000</v>
      </c>
      <c r="P282" s="35">
        <v>21000</v>
      </c>
      <c r="Q282" s="35">
        <v>21000</v>
      </c>
      <c r="R282" s="35"/>
      <c r="S282" s="58"/>
      <c r="T282" s="58"/>
    </row>
    <row r="283" spans="1:20" s="15" customFormat="1" ht="26.25" customHeight="1" x14ac:dyDescent="0.2">
      <c r="A283" s="43" t="s">
        <v>859</v>
      </c>
      <c r="B283" s="46" t="s">
        <v>597</v>
      </c>
      <c r="C283" s="44" t="s">
        <v>599</v>
      </c>
      <c r="D283" s="54" t="s">
        <v>864</v>
      </c>
      <c r="E283" s="46" t="s">
        <v>865</v>
      </c>
      <c r="F283" s="35">
        <v>15000</v>
      </c>
      <c r="G283" s="35">
        <v>27625</v>
      </c>
      <c r="H283" s="35">
        <v>15000</v>
      </c>
      <c r="I283" s="35">
        <f t="shared" si="13"/>
        <v>42625</v>
      </c>
      <c r="J283" s="36">
        <f t="shared" si="14"/>
        <v>0.54298642533936647</v>
      </c>
      <c r="K283" s="48" t="s">
        <v>14</v>
      </c>
      <c r="L283" s="48" t="s">
        <v>14</v>
      </c>
      <c r="M283" s="38">
        <v>42887</v>
      </c>
      <c r="N283" s="48" t="s">
        <v>28</v>
      </c>
      <c r="O283" s="35">
        <v>15000</v>
      </c>
      <c r="P283" s="35"/>
      <c r="Q283" s="35"/>
      <c r="R283" s="35"/>
      <c r="S283" s="58"/>
      <c r="T283" s="58"/>
    </row>
    <row r="284" spans="1:20" s="15" customFormat="1" ht="26.25" customHeight="1" x14ac:dyDescent="0.2">
      <c r="A284" s="43" t="s">
        <v>860</v>
      </c>
      <c r="B284" s="46" t="s">
        <v>69</v>
      </c>
      <c r="C284" s="44" t="s">
        <v>862</v>
      </c>
      <c r="D284" s="47">
        <v>14197</v>
      </c>
      <c r="E284" s="46" t="s">
        <v>866</v>
      </c>
      <c r="F284" s="35">
        <f>12638+5000+5000</f>
        <v>22638</v>
      </c>
      <c r="G284" s="35">
        <f>12638+5000+5000</f>
        <v>22638</v>
      </c>
      <c r="H284" s="35">
        <v>0</v>
      </c>
      <c r="I284" s="35">
        <f t="shared" si="13"/>
        <v>22638</v>
      </c>
      <c r="J284" s="36">
        <f t="shared" si="14"/>
        <v>0</v>
      </c>
      <c r="K284" s="48" t="s">
        <v>14</v>
      </c>
      <c r="L284" s="48" t="s">
        <v>15</v>
      </c>
      <c r="M284" s="38">
        <v>43160</v>
      </c>
      <c r="N284" s="48" t="s">
        <v>18</v>
      </c>
      <c r="O284" s="35">
        <v>12638</v>
      </c>
      <c r="P284" s="35">
        <v>5000</v>
      </c>
      <c r="Q284" s="35">
        <v>5000</v>
      </c>
      <c r="R284" s="35"/>
      <c r="S284" s="58"/>
      <c r="T284" s="58"/>
    </row>
    <row r="285" spans="1:20" s="15" customFormat="1" ht="26.25" customHeight="1" x14ac:dyDescent="0.2">
      <c r="A285" s="43" t="s">
        <v>861</v>
      </c>
      <c r="B285" s="46" t="s">
        <v>25</v>
      </c>
      <c r="C285" s="44" t="s">
        <v>863</v>
      </c>
      <c r="D285" s="47">
        <v>14183</v>
      </c>
      <c r="E285" s="46" t="s">
        <v>867</v>
      </c>
      <c r="F285" s="35">
        <v>49000</v>
      </c>
      <c r="G285" s="35">
        <v>49000</v>
      </c>
      <c r="H285" s="35">
        <v>0</v>
      </c>
      <c r="I285" s="35">
        <f t="shared" si="13"/>
        <v>49000</v>
      </c>
      <c r="J285" s="36">
        <f t="shared" si="14"/>
        <v>0</v>
      </c>
      <c r="K285" s="48" t="s">
        <v>14</v>
      </c>
      <c r="L285" s="48" t="s">
        <v>14</v>
      </c>
      <c r="M285" s="38">
        <v>42916</v>
      </c>
      <c r="N285" s="48"/>
      <c r="O285" s="35">
        <v>49000</v>
      </c>
      <c r="P285" s="35"/>
      <c r="Q285" s="35"/>
      <c r="R285" s="35"/>
      <c r="S285" s="58"/>
      <c r="T285" s="58"/>
    </row>
    <row r="286" spans="1:20" s="15" customFormat="1" ht="26.25" customHeight="1" x14ac:dyDescent="0.2">
      <c r="A286" s="43" t="s">
        <v>868</v>
      </c>
      <c r="B286" s="46" t="s">
        <v>69</v>
      </c>
      <c r="C286" s="44" t="s">
        <v>562</v>
      </c>
      <c r="D286" s="47">
        <v>14167</v>
      </c>
      <c r="E286" s="46" t="s">
        <v>874</v>
      </c>
      <c r="F286" s="35">
        <v>99540</v>
      </c>
      <c r="G286" s="35">
        <v>99540</v>
      </c>
      <c r="H286" s="35">
        <v>0</v>
      </c>
      <c r="I286" s="35">
        <f t="shared" si="13"/>
        <v>99540</v>
      </c>
      <c r="J286" s="36">
        <f t="shared" si="14"/>
        <v>0</v>
      </c>
      <c r="K286" s="48" t="s">
        <v>14</v>
      </c>
      <c r="L286" s="48" t="s">
        <v>15</v>
      </c>
      <c r="M286" s="38">
        <v>43160</v>
      </c>
      <c r="N286" s="48"/>
      <c r="O286" s="35">
        <v>99540</v>
      </c>
      <c r="P286" s="35"/>
      <c r="Q286" s="35"/>
      <c r="R286" s="35"/>
      <c r="S286" s="58"/>
      <c r="T286" s="58"/>
    </row>
    <row r="287" spans="1:20" s="15" customFormat="1" ht="26.25" customHeight="1" x14ac:dyDescent="0.2">
      <c r="A287" s="43" t="s">
        <v>869</v>
      </c>
      <c r="B287" s="46" t="s">
        <v>69</v>
      </c>
      <c r="C287" s="44" t="s">
        <v>562</v>
      </c>
      <c r="D287" s="47">
        <v>14168</v>
      </c>
      <c r="E287" s="46" t="s">
        <v>873</v>
      </c>
      <c r="F287" s="35">
        <v>99540</v>
      </c>
      <c r="G287" s="35">
        <v>99540</v>
      </c>
      <c r="H287" s="35">
        <v>0</v>
      </c>
      <c r="I287" s="35">
        <f t="shared" si="13"/>
        <v>99540</v>
      </c>
      <c r="J287" s="36">
        <f t="shared" si="14"/>
        <v>0</v>
      </c>
      <c r="K287" s="48" t="s">
        <v>14</v>
      </c>
      <c r="L287" s="48" t="s">
        <v>15</v>
      </c>
      <c r="M287" s="38">
        <v>43160</v>
      </c>
      <c r="N287" s="48"/>
      <c r="O287" s="35">
        <v>99540</v>
      </c>
      <c r="P287" s="35"/>
      <c r="Q287" s="35"/>
      <c r="R287" s="35"/>
      <c r="S287" s="58"/>
      <c r="T287" s="58"/>
    </row>
    <row r="288" spans="1:20" s="15" customFormat="1" ht="26.25" customHeight="1" x14ac:dyDescent="0.2">
      <c r="A288" s="43" t="s">
        <v>870</v>
      </c>
      <c r="B288" s="46" t="s">
        <v>21</v>
      </c>
      <c r="C288" s="44" t="s">
        <v>871</v>
      </c>
      <c r="D288" s="47">
        <v>14177</v>
      </c>
      <c r="E288" s="46" t="s">
        <v>872</v>
      </c>
      <c r="F288" s="35">
        <f>80000*3</f>
        <v>240000</v>
      </c>
      <c r="G288" s="35">
        <f>80000*3</f>
        <v>240000</v>
      </c>
      <c r="H288" s="35">
        <v>0</v>
      </c>
      <c r="I288" s="35">
        <f t="shared" si="13"/>
        <v>240000</v>
      </c>
      <c r="J288" s="36">
        <f t="shared" si="14"/>
        <v>0</v>
      </c>
      <c r="K288" s="48" t="s">
        <v>14</v>
      </c>
      <c r="L288" s="48" t="s">
        <v>15</v>
      </c>
      <c r="M288" s="38">
        <v>42916</v>
      </c>
      <c r="N288" s="48" t="s">
        <v>18</v>
      </c>
      <c r="O288" s="35">
        <v>80000</v>
      </c>
      <c r="P288" s="35">
        <v>80000</v>
      </c>
      <c r="Q288" s="35">
        <v>80000</v>
      </c>
      <c r="R288" s="35"/>
      <c r="S288" s="58"/>
      <c r="T288" s="58"/>
    </row>
    <row r="289" spans="1:20" s="15" customFormat="1" ht="26.25" customHeight="1" x14ac:dyDescent="0.2">
      <c r="A289" s="43" t="s">
        <v>875</v>
      </c>
      <c r="B289" s="46" t="s">
        <v>30</v>
      </c>
      <c r="C289" s="44" t="s">
        <v>47</v>
      </c>
      <c r="D289" s="47">
        <v>13792</v>
      </c>
      <c r="E289" s="46" t="s">
        <v>882</v>
      </c>
      <c r="F289" s="35">
        <f>43500+15000+15000</f>
        <v>73500</v>
      </c>
      <c r="G289" s="35">
        <f>43500+15000+15000</f>
        <v>73500</v>
      </c>
      <c r="H289" s="35">
        <v>0</v>
      </c>
      <c r="I289" s="35">
        <f t="shared" si="13"/>
        <v>73500</v>
      </c>
      <c r="J289" s="36">
        <f t="shared" si="14"/>
        <v>0</v>
      </c>
      <c r="K289" s="48" t="s">
        <v>14</v>
      </c>
      <c r="L289" s="48" t="s">
        <v>15</v>
      </c>
      <c r="M289" s="38">
        <v>43847</v>
      </c>
      <c r="N289" s="48" t="s">
        <v>18</v>
      </c>
      <c r="O289" s="35">
        <v>43500</v>
      </c>
      <c r="P289" s="35"/>
      <c r="Q289" s="35"/>
      <c r="R289" s="35"/>
      <c r="S289" s="35">
        <v>15000</v>
      </c>
      <c r="T289" s="35">
        <v>15000</v>
      </c>
    </row>
    <row r="290" spans="1:20" s="15" customFormat="1" ht="18" customHeight="1" x14ac:dyDescent="0.2">
      <c r="A290" s="43" t="s">
        <v>876</v>
      </c>
      <c r="B290" s="46" t="s">
        <v>30</v>
      </c>
      <c r="C290" s="44" t="s">
        <v>880</v>
      </c>
      <c r="D290" s="47">
        <v>13985</v>
      </c>
      <c r="E290" s="46" t="s">
        <v>883</v>
      </c>
      <c r="F290" s="35">
        <f>25025*3</f>
        <v>75075</v>
      </c>
      <c r="G290" s="35">
        <f>25025*3</f>
        <v>75075</v>
      </c>
      <c r="H290" s="35">
        <v>0</v>
      </c>
      <c r="I290" s="35">
        <f t="shared" si="13"/>
        <v>75075</v>
      </c>
      <c r="J290" s="36">
        <f t="shared" si="14"/>
        <v>0</v>
      </c>
      <c r="K290" s="48" t="s">
        <v>14</v>
      </c>
      <c r="L290" s="48" t="s">
        <v>15</v>
      </c>
      <c r="M290" s="38">
        <v>43159</v>
      </c>
      <c r="N290" s="48" t="s">
        <v>18</v>
      </c>
      <c r="O290" s="35">
        <v>25025</v>
      </c>
      <c r="P290" s="35">
        <v>25025</v>
      </c>
      <c r="Q290" s="35">
        <v>25025</v>
      </c>
      <c r="R290" s="35"/>
      <c r="S290" s="58"/>
      <c r="T290" s="58"/>
    </row>
    <row r="291" spans="1:20" s="15" customFormat="1" ht="26.25" customHeight="1" x14ac:dyDescent="0.2">
      <c r="A291" s="43" t="s">
        <v>877</v>
      </c>
      <c r="B291" s="46" t="s">
        <v>23</v>
      </c>
      <c r="C291" s="44" t="s">
        <v>509</v>
      </c>
      <c r="D291" s="54" t="s">
        <v>881</v>
      </c>
      <c r="E291" s="46" t="s">
        <v>884</v>
      </c>
      <c r="F291" s="35">
        <f>7500+7500</f>
        <v>15000</v>
      </c>
      <c r="G291" s="35">
        <v>15000</v>
      </c>
      <c r="H291" s="35">
        <f>7500+7500</f>
        <v>15000</v>
      </c>
      <c r="I291" s="35">
        <f t="shared" si="13"/>
        <v>30000</v>
      </c>
      <c r="J291" s="36">
        <f t="shared" si="14"/>
        <v>1</v>
      </c>
      <c r="K291" s="48" t="s">
        <v>14</v>
      </c>
      <c r="L291" s="48" t="s">
        <v>14</v>
      </c>
      <c r="M291" s="38">
        <v>42916</v>
      </c>
      <c r="N291" s="48" t="s">
        <v>28</v>
      </c>
      <c r="O291" s="35">
        <v>7500</v>
      </c>
      <c r="P291" s="35">
        <v>7500</v>
      </c>
      <c r="Q291" s="35"/>
      <c r="R291" s="35"/>
      <c r="S291" s="58"/>
      <c r="T291" s="58"/>
    </row>
    <row r="292" spans="1:20" s="15" customFormat="1" ht="26.25" customHeight="1" x14ac:dyDescent="0.2">
      <c r="A292" s="43" t="s">
        <v>878</v>
      </c>
      <c r="B292" s="46" t="s">
        <v>19</v>
      </c>
      <c r="C292" s="44" t="s">
        <v>46</v>
      </c>
      <c r="D292" s="47">
        <v>14195</v>
      </c>
      <c r="E292" s="46" t="s">
        <v>885</v>
      </c>
      <c r="F292" s="35">
        <v>4647</v>
      </c>
      <c r="G292" s="35">
        <v>20000</v>
      </c>
      <c r="H292" s="35">
        <v>4647</v>
      </c>
      <c r="I292" s="35">
        <f t="shared" si="13"/>
        <v>24647</v>
      </c>
      <c r="J292" s="36">
        <f t="shared" si="14"/>
        <v>0.23235</v>
      </c>
      <c r="K292" s="48" t="s">
        <v>14</v>
      </c>
      <c r="L292" s="48" t="s">
        <v>14</v>
      </c>
      <c r="M292" s="38">
        <v>42916</v>
      </c>
      <c r="N292" s="48" t="s">
        <v>28</v>
      </c>
      <c r="O292" s="35">
        <v>4647</v>
      </c>
      <c r="P292" s="35"/>
      <c r="Q292" s="35"/>
      <c r="R292" s="35"/>
      <c r="S292" s="58"/>
      <c r="T292" s="58"/>
    </row>
    <row r="293" spans="1:20" s="15" customFormat="1" ht="26.25" customHeight="1" x14ac:dyDescent="0.2">
      <c r="A293" s="43" t="s">
        <v>879</v>
      </c>
      <c r="B293" s="46" t="s">
        <v>19</v>
      </c>
      <c r="C293" s="44" t="s">
        <v>128</v>
      </c>
      <c r="D293" s="47">
        <v>14236</v>
      </c>
      <c r="E293" s="46" t="s">
        <v>886</v>
      </c>
      <c r="F293" s="35">
        <v>11398</v>
      </c>
      <c r="G293" s="35">
        <v>11398</v>
      </c>
      <c r="H293" s="35">
        <v>0</v>
      </c>
      <c r="I293" s="35">
        <f t="shared" si="13"/>
        <v>11398</v>
      </c>
      <c r="J293" s="36">
        <f t="shared" si="14"/>
        <v>0</v>
      </c>
      <c r="K293" s="48" t="s">
        <v>14</v>
      </c>
      <c r="L293" s="48" t="s">
        <v>14</v>
      </c>
      <c r="M293" s="38">
        <v>42671</v>
      </c>
      <c r="N293" s="48"/>
      <c r="O293" s="35">
        <v>11398</v>
      </c>
      <c r="P293" s="35"/>
      <c r="Q293" s="35"/>
      <c r="R293" s="35"/>
      <c r="S293" s="58"/>
      <c r="T293" s="58"/>
    </row>
    <row r="294" spans="1:20" s="15" customFormat="1" ht="26.25" customHeight="1" x14ac:dyDescent="0.2">
      <c r="A294" s="43" t="s">
        <v>887</v>
      </c>
      <c r="B294" s="46" t="s">
        <v>62</v>
      </c>
      <c r="C294" s="44" t="s">
        <v>891</v>
      </c>
      <c r="D294" s="47">
        <v>14229</v>
      </c>
      <c r="E294" s="46" t="s">
        <v>894</v>
      </c>
      <c r="F294" s="35">
        <v>60000</v>
      </c>
      <c r="G294" s="35">
        <v>60000</v>
      </c>
      <c r="H294" s="35">
        <v>0</v>
      </c>
      <c r="I294" s="35">
        <f t="shared" si="13"/>
        <v>60000</v>
      </c>
      <c r="J294" s="36">
        <f t="shared" si="14"/>
        <v>0</v>
      </c>
      <c r="K294" s="48" t="s">
        <v>14</v>
      </c>
      <c r="L294" s="48" t="s">
        <v>14</v>
      </c>
      <c r="M294" s="38">
        <v>42960</v>
      </c>
      <c r="N294" s="48"/>
      <c r="O294" s="35">
        <v>60000</v>
      </c>
      <c r="P294" s="35"/>
      <c r="Q294" s="35"/>
      <c r="R294" s="35"/>
      <c r="S294" s="58"/>
      <c r="T294" s="58"/>
    </row>
    <row r="295" spans="1:20" s="15" customFormat="1" ht="26.25" customHeight="1" x14ac:dyDescent="0.2">
      <c r="A295" s="43" t="s">
        <v>888</v>
      </c>
      <c r="B295" s="46" t="s">
        <v>22</v>
      </c>
      <c r="C295" s="44" t="s">
        <v>892</v>
      </c>
      <c r="D295" s="47">
        <v>14266</v>
      </c>
      <c r="E295" s="46" t="s">
        <v>897</v>
      </c>
      <c r="F295" s="35">
        <f>49000+98000+98000</f>
        <v>245000</v>
      </c>
      <c r="G295" s="35">
        <f>49000+98000+98000</f>
        <v>245000</v>
      </c>
      <c r="H295" s="35">
        <v>0</v>
      </c>
      <c r="I295" s="35">
        <f t="shared" si="13"/>
        <v>245000</v>
      </c>
      <c r="J295" s="36">
        <f t="shared" si="14"/>
        <v>0</v>
      </c>
      <c r="K295" s="48" t="s">
        <v>14</v>
      </c>
      <c r="L295" s="48" t="s">
        <v>14</v>
      </c>
      <c r="M295" s="38">
        <v>42916</v>
      </c>
      <c r="N295" s="48" t="s">
        <v>18</v>
      </c>
      <c r="O295" s="35">
        <v>49000</v>
      </c>
      <c r="P295" s="35">
        <v>98000</v>
      </c>
      <c r="Q295" s="35">
        <v>98000</v>
      </c>
      <c r="R295" s="35"/>
      <c r="S295" s="58"/>
      <c r="T295" s="58"/>
    </row>
    <row r="296" spans="1:20" s="15" customFormat="1" ht="26.25" customHeight="1" x14ac:dyDescent="0.2">
      <c r="A296" s="43" t="s">
        <v>889</v>
      </c>
      <c r="B296" s="46" t="s">
        <v>22</v>
      </c>
      <c r="C296" s="44" t="s">
        <v>893</v>
      </c>
      <c r="D296" s="47">
        <v>14265</v>
      </c>
      <c r="E296" s="46" t="s">
        <v>896</v>
      </c>
      <c r="F296" s="35">
        <f>99850*3</f>
        <v>299550</v>
      </c>
      <c r="G296" s="35">
        <f>99850*3</f>
        <v>299550</v>
      </c>
      <c r="H296" s="35">
        <v>0</v>
      </c>
      <c r="I296" s="35">
        <f t="shared" si="13"/>
        <v>299550</v>
      </c>
      <c r="J296" s="36">
        <f t="shared" si="14"/>
        <v>0</v>
      </c>
      <c r="K296" s="48" t="s">
        <v>14</v>
      </c>
      <c r="L296" s="48" t="s">
        <v>14</v>
      </c>
      <c r="M296" s="38">
        <v>42916</v>
      </c>
      <c r="N296" s="48" t="s">
        <v>18</v>
      </c>
      <c r="O296" s="35">
        <v>99850</v>
      </c>
      <c r="P296" s="35">
        <v>99850</v>
      </c>
      <c r="Q296" s="35">
        <v>99850</v>
      </c>
      <c r="R296" s="35"/>
      <c r="S296" s="58"/>
      <c r="T296" s="58"/>
    </row>
    <row r="297" spans="1:20" s="15" customFormat="1" ht="26.25" customHeight="1" x14ac:dyDescent="0.2">
      <c r="A297" s="43" t="s">
        <v>890</v>
      </c>
      <c r="B297" s="46" t="s">
        <v>23</v>
      </c>
      <c r="C297" s="44" t="s">
        <v>40</v>
      </c>
      <c r="D297" s="47">
        <v>14203</v>
      </c>
      <c r="E297" s="46" t="s">
        <v>895</v>
      </c>
      <c r="F297" s="35">
        <f>18000+18000</f>
        <v>36000</v>
      </c>
      <c r="G297" s="35">
        <v>36930</v>
      </c>
      <c r="H297" s="35">
        <f>18000+18000</f>
        <v>36000</v>
      </c>
      <c r="I297" s="35">
        <f t="shared" si="13"/>
        <v>72930</v>
      </c>
      <c r="J297" s="36">
        <f t="shared" si="14"/>
        <v>0.97481722177091801</v>
      </c>
      <c r="K297" s="48" t="s">
        <v>14</v>
      </c>
      <c r="L297" s="48" t="s">
        <v>14</v>
      </c>
      <c r="M297" s="38">
        <v>42916</v>
      </c>
      <c r="N297" s="48" t="s">
        <v>28</v>
      </c>
      <c r="O297" s="35">
        <v>18000</v>
      </c>
      <c r="P297" s="35">
        <v>18000</v>
      </c>
      <c r="Q297" s="35"/>
      <c r="R297" s="35"/>
      <c r="S297" s="58"/>
      <c r="T297" s="58"/>
    </row>
    <row r="298" spans="1:20" s="15" customFormat="1" ht="26.25" customHeight="1" x14ac:dyDescent="0.2">
      <c r="A298" s="43" t="s">
        <v>898</v>
      </c>
      <c r="B298" s="46" t="s">
        <v>23</v>
      </c>
      <c r="C298" s="44" t="s">
        <v>902</v>
      </c>
      <c r="D298" s="54" t="s">
        <v>906</v>
      </c>
      <c r="E298" s="46" t="s">
        <v>907</v>
      </c>
      <c r="F298" s="35">
        <f>8000+8000</f>
        <v>16000</v>
      </c>
      <c r="G298" s="35">
        <v>34577</v>
      </c>
      <c r="H298" s="35">
        <f>8000+8000</f>
        <v>16000</v>
      </c>
      <c r="I298" s="35">
        <f t="shared" si="13"/>
        <v>50577</v>
      </c>
      <c r="J298" s="36">
        <f t="shared" si="14"/>
        <v>0.46273534430401714</v>
      </c>
      <c r="K298" s="48" t="s">
        <v>14</v>
      </c>
      <c r="L298" s="48" t="s">
        <v>14</v>
      </c>
      <c r="M298" s="38">
        <v>42916</v>
      </c>
      <c r="N298" s="48" t="s">
        <v>28</v>
      </c>
      <c r="O298" s="35">
        <v>8000</v>
      </c>
      <c r="P298" s="35">
        <v>8000</v>
      </c>
      <c r="Q298" s="35"/>
      <c r="R298" s="35"/>
      <c r="S298" s="58"/>
      <c r="T298" s="58"/>
    </row>
    <row r="299" spans="1:20" s="15" customFormat="1" ht="26.25" customHeight="1" x14ac:dyDescent="0.2">
      <c r="A299" s="43" t="s">
        <v>899</v>
      </c>
      <c r="B299" s="46" t="s">
        <v>21</v>
      </c>
      <c r="C299" s="44" t="s">
        <v>903</v>
      </c>
      <c r="D299" s="47">
        <v>14237</v>
      </c>
      <c r="E299" s="46" t="s">
        <v>908</v>
      </c>
      <c r="F299" s="35">
        <f>48000*2</f>
        <v>96000</v>
      </c>
      <c r="G299" s="35">
        <f>48000*2</f>
        <v>96000</v>
      </c>
      <c r="H299" s="35">
        <v>0</v>
      </c>
      <c r="I299" s="35">
        <f t="shared" si="13"/>
        <v>96000</v>
      </c>
      <c r="J299" s="36">
        <f t="shared" si="14"/>
        <v>0</v>
      </c>
      <c r="K299" s="48" t="s">
        <v>14</v>
      </c>
      <c r="L299" s="48" t="s">
        <v>14</v>
      </c>
      <c r="M299" s="38">
        <v>42916</v>
      </c>
      <c r="N299" s="48" t="s">
        <v>18</v>
      </c>
      <c r="O299" s="35">
        <v>48000</v>
      </c>
      <c r="P299" s="35">
        <v>48000</v>
      </c>
      <c r="Q299" s="35"/>
      <c r="R299" s="35"/>
      <c r="S299" s="58"/>
      <c r="T299" s="58"/>
    </row>
    <row r="300" spans="1:20" s="15" customFormat="1" ht="26.25" customHeight="1" x14ac:dyDescent="0.2">
      <c r="A300" s="43" t="s">
        <v>900</v>
      </c>
      <c r="B300" s="46" t="s">
        <v>31</v>
      </c>
      <c r="C300" s="44" t="s">
        <v>904</v>
      </c>
      <c r="D300" s="47">
        <v>14258</v>
      </c>
      <c r="E300" s="46" t="s">
        <v>909</v>
      </c>
      <c r="F300" s="35">
        <v>10950</v>
      </c>
      <c r="G300" s="35">
        <v>10950</v>
      </c>
      <c r="H300" s="35">
        <v>0</v>
      </c>
      <c r="I300" s="35">
        <f t="shared" si="13"/>
        <v>10950</v>
      </c>
      <c r="J300" s="36">
        <f t="shared" si="14"/>
        <v>0</v>
      </c>
      <c r="K300" s="48" t="s">
        <v>14</v>
      </c>
      <c r="L300" s="48" t="s">
        <v>15</v>
      </c>
      <c r="M300" s="38">
        <v>43220</v>
      </c>
      <c r="N300" s="48"/>
      <c r="O300" s="35">
        <v>10950</v>
      </c>
      <c r="P300" s="35"/>
      <c r="Q300" s="35"/>
      <c r="R300" s="35"/>
      <c r="S300" s="58"/>
      <c r="T300" s="58"/>
    </row>
    <row r="301" spans="1:20" s="15" customFormat="1" ht="26.25" customHeight="1" x14ac:dyDescent="0.2">
      <c r="A301" s="43" t="s">
        <v>901</v>
      </c>
      <c r="B301" s="46" t="s">
        <v>69</v>
      </c>
      <c r="C301" s="44" t="s">
        <v>905</v>
      </c>
      <c r="D301" s="47">
        <v>14280</v>
      </c>
      <c r="E301" s="46" t="s">
        <v>910</v>
      </c>
      <c r="F301" s="35">
        <f>20519*3</f>
        <v>61557</v>
      </c>
      <c r="G301" s="35">
        <f>20519*3</f>
        <v>61557</v>
      </c>
      <c r="H301" s="35">
        <v>0</v>
      </c>
      <c r="I301" s="35">
        <f t="shared" si="13"/>
        <v>61557</v>
      </c>
      <c r="J301" s="36">
        <f t="shared" si="14"/>
        <v>0</v>
      </c>
      <c r="K301" s="48" t="s">
        <v>14</v>
      </c>
      <c r="L301" s="48" t="s">
        <v>14</v>
      </c>
      <c r="M301" s="38">
        <v>43111</v>
      </c>
      <c r="N301" s="48" t="s">
        <v>18</v>
      </c>
      <c r="O301" s="35">
        <v>20519</v>
      </c>
      <c r="P301" s="35">
        <v>20519</v>
      </c>
      <c r="Q301" s="35">
        <v>20519</v>
      </c>
      <c r="R301" s="35"/>
      <c r="S301" s="58"/>
      <c r="T301" s="58"/>
    </row>
    <row r="302" spans="1:20" s="15" customFormat="1" ht="26.25" customHeight="1" x14ac:dyDescent="0.2">
      <c r="A302" s="43" t="s">
        <v>911</v>
      </c>
      <c r="B302" s="46" t="s">
        <v>92</v>
      </c>
      <c r="C302" s="44" t="s">
        <v>913</v>
      </c>
      <c r="D302" s="54" t="s">
        <v>914</v>
      </c>
      <c r="E302" s="46" t="s">
        <v>915</v>
      </c>
      <c r="F302" s="35">
        <v>6000</v>
      </c>
      <c r="G302" s="35">
        <v>90000</v>
      </c>
      <c r="H302" s="35">
        <f>5000+90000+6000</f>
        <v>101000</v>
      </c>
      <c r="I302" s="35">
        <f t="shared" si="13"/>
        <v>191000</v>
      </c>
      <c r="J302" s="36">
        <f t="shared" si="14"/>
        <v>1.1222222222222222</v>
      </c>
      <c r="K302" s="48" t="s">
        <v>14</v>
      </c>
      <c r="L302" s="48" t="s">
        <v>14</v>
      </c>
      <c r="M302" s="38">
        <v>42916</v>
      </c>
      <c r="N302" s="48" t="s">
        <v>28</v>
      </c>
      <c r="O302" s="35">
        <v>6000</v>
      </c>
      <c r="P302" s="35"/>
      <c r="Q302" s="35"/>
      <c r="R302" s="35"/>
      <c r="S302" s="58"/>
      <c r="T302" s="58"/>
    </row>
    <row r="303" spans="1:20" s="15" customFormat="1" ht="26.25" customHeight="1" x14ac:dyDescent="0.2">
      <c r="A303" s="43" t="s">
        <v>912</v>
      </c>
      <c r="B303" s="46" t="s">
        <v>69</v>
      </c>
      <c r="C303" s="44" t="s">
        <v>849</v>
      </c>
      <c r="D303" s="47">
        <v>14240</v>
      </c>
      <c r="E303" s="46" t="s">
        <v>916</v>
      </c>
      <c r="F303" s="35">
        <v>85000</v>
      </c>
      <c r="G303" s="35">
        <v>85000</v>
      </c>
      <c r="H303" s="35">
        <v>0</v>
      </c>
      <c r="I303" s="35">
        <f t="shared" si="13"/>
        <v>85000</v>
      </c>
      <c r="J303" s="36">
        <f t="shared" si="14"/>
        <v>0</v>
      </c>
      <c r="K303" s="48" t="s">
        <v>14</v>
      </c>
      <c r="L303" s="48" t="s">
        <v>15</v>
      </c>
      <c r="M303" s="38">
        <v>43160</v>
      </c>
      <c r="N303" s="48"/>
      <c r="O303" s="35">
        <v>85000</v>
      </c>
      <c r="P303" s="35"/>
      <c r="Q303" s="35"/>
      <c r="R303" s="35"/>
      <c r="S303" s="58"/>
      <c r="T303" s="58"/>
    </row>
    <row r="304" spans="1:20" s="15" customFormat="1" ht="26.25" customHeight="1" x14ac:dyDescent="0.2">
      <c r="A304" s="43" t="s">
        <v>917</v>
      </c>
      <c r="B304" s="46" t="s">
        <v>17</v>
      </c>
      <c r="C304" s="44" t="s">
        <v>172</v>
      </c>
      <c r="D304" s="47">
        <v>14310</v>
      </c>
      <c r="E304" s="46" t="s">
        <v>181</v>
      </c>
      <c r="F304" s="35">
        <f>14000*3</f>
        <v>42000</v>
      </c>
      <c r="G304" s="35">
        <v>35000</v>
      </c>
      <c r="H304" s="35">
        <f>14000*3</f>
        <v>42000</v>
      </c>
      <c r="I304" s="35">
        <f t="shared" si="13"/>
        <v>77000</v>
      </c>
      <c r="J304" s="36">
        <f t="shared" si="14"/>
        <v>1.2</v>
      </c>
      <c r="K304" s="48" t="s">
        <v>14</v>
      </c>
      <c r="L304" s="48" t="s">
        <v>14</v>
      </c>
      <c r="M304" s="38">
        <v>42916</v>
      </c>
      <c r="N304" s="48" t="s">
        <v>18</v>
      </c>
      <c r="O304" s="35">
        <v>14000</v>
      </c>
      <c r="P304" s="35">
        <v>14000</v>
      </c>
      <c r="Q304" s="35">
        <v>14000</v>
      </c>
      <c r="R304" s="35"/>
      <c r="S304" s="58"/>
      <c r="T304" s="58"/>
    </row>
    <row r="305" spans="1:20" s="15" customFormat="1" ht="26.25" customHeight="1" x14ac:dyDescent="0.2">
      <c r="A305" s="43" t="s">
        <v>918</v>
      </c>
      <c r="B305" s="46" t="s">
        <v>69</v>
      </c>
      <c r="C305" s="44" t="s">
        <v>922</v>
      </c>
      <c r="D305" s="47">
        <v>14327</v>
      </c>
      <c r="E305" s="46" t="s">
        <v>925</v>
      </c>
      <c r="F305" s="35">
        <v>47823</v>
      </c>
      <c r="G305" s="35">
        <v>47823</v>
      </c>
      <c r="H305" s="35">
        <v>0</v>
      </c>
      <c r="I305" s="35">
        <f t="shared" si="13"/>
        <v>47823</v>
      </c>
      <c r="J305" s="36">
        <f t="shared" si="14"/>
        <v>0</v>
      </c>
      <c r="K305" s="48" t="s">
        <v>14</v>
      </c>
      <c r="L305" s="48" t="s">
        <v>14</v>
      </c>
      <c r="M305" s="38">
        <v>42825</v>
      </c>
      <c r="N305" s="48"/>
      <c r="O305" s="35">
        <v>47823</v>
      </c>
      <c r="P305" s="35"/>
      <c r="Q305" s="35"/>
      <c r="R305" s="35"/>
      <c r="S305" s="58"/>
      <c r="T305" s="58"/>
    </row>
    <row r="306" spans="1:20" s="15" customFormat="1" ht="26.25" customHeight="1" x14ac:dyDescent="0.2">
      <c r="A306" s="43" t="s">
        <v>919</v>
      </c>
      <c r="B306" s="46" t="s">
        <v>25</v>
      </c>
      <c r="C306" s="44" t="s">
        <v>923</v>
      </c>
      <c r="D306" s="47">
        <v>14329</v>
      </c>
      <c r="E306" s="46" t="s">
        <v>926</v>
      </c>
      <c r="F306" s="35">
        <v>30000</v>
      </c>
      <c r="G306" s="35">
        <v>30000</v>
      </c>
      <c r="H306" s="35">
        <v>0</v>
      </c>
      <c r="I306" s="35">
        <f t="shared" si="13"/>
        <v>30000</v>
      </c>
      <c r="J306" s="36">
        <f t="shared" si="14"/>
        <v>0</v>
      </c>
      <c r="K306" s="48" t="s">
        <v>14</v>
      </c>
      <c r="L306" s="48" t="s">
        <v>14</v>
      </c>
      <c r="M306" s="38">
        <v>42916</v>
      </c>
      <c r="N306" s="48"/>
      <c r="O306" s="35">
        <v>30000</v>
      </c>
      <c r="P306" s="35"/>
      <c r="Q306" s="35"/>
      <c r="R306" s="35"/>
      <c r="S306" s="58"/>
      <c r="T306" s="58"/>
    </row>
    <row r="307" spans="1:20" s="15" customFormat="1" ht="26.25" customHeight="1" x14ac:dyDescent="0.2">
      <c r="A307" s="43" t="s">
        <v>920</v>
      </c>
      <c r="B307" s="46" t="s">
        <v>21</v>
      </c>
      <c r="C307" s="44" t="s">
        <v>924</v>
      </c>
      <c r="D307" s="47">
        <v>14445</v>
      </c>
      <c r="E307" s="46" t="s">
        <v>927</v>
      </c>
      <c r="F307" s="35">
        <v>5895</v>
      </c>
      <c r="G307" s="35">
        <v>5895</v>
      </c>
      <c r="H307" s="35">
        <v>0</v>
      </c>
      <c r="I307" s="35">
        <f t="shared" si="13"/>
        <v>5895</v>
      </c>
      <c r="J307" s="36">
        <f t="shared" si="14"/>
        <v>0</v>
      </c>
      <c r="K307" s="48" t="s">
        <v>14</v>
      </c>
      <c r="L307" s="48" t="s">
        <v>14</v>
      </c>
      <c r="M307" s="38">
        <v>42734</v>
      </c>
      <c r="N307" s="48"/>
      <c r="O307" s="35">
        <v>5895</v>
      </c>
      <c r="P307" s="35"/>
      <c r="Q307" s="35"/>
      <c r="R307" s="35"/>
      <c r="S307" s="58"/>
      <c r="T307" s="58"/>
    </row>
    <row r="308" spans="1:20" s="15" customFormat="1" ht="26.25" customHeight="1" x14ac:dyDescent="0.2">
      <c r="A308" s="43" t="s">
        <v>921</v>
      </c>
      <c r="B308" s="46" t="s">
        <v>21</v>
      </c>
      <c r="C308" s="44" t="s">
        <v>924</v>
      </c>
      <c r="D308" s="47">
        <v>14458</v>
      </c>
      <c r="E308" s="46" t="s">
        <v>927</v>
      </c>
      <c r="F308" s="35">
        <v>11790</v>
      </c>
      <c r="G308" s="35">
        <v>11790</v>
      </c>
      <c r="H308" s="35">
        <v>0</v>
      </c>
      <c r="I308" s="35">
        <f t="shared" si="13"/>
        <v>11790</v>
      </c>
      <c r="J308" s="36">
        <f t="shared" si="14"/>
        <v>0</v>
      </c>
      <c r="K308" s="48" t="s">
        <v>14</v>
      </c>
      <c r="L308" s="48" t="s">
        <v>14</v>
      </c>
      <c r="M308" s="38">
        <v>42734</v>
      </c>
      <c r="N308" s="48"/>
      <c r="O308" s="35">
        <v>11790</v>
      </c>
      <c r="P308" s="35"/>
      <c r="Q308" s="35"/>
      <c r="R308" s="35"/>
      <c r="S308" s="58"/>
      <c r="T308" s="58"/>
    </row>
    <row r="309" spans="1:20" s="15" customFormat="1" ht="26.25" customHeight="1" x14ac:dyDescent="0.2">
      <c r="A309" s="43" t="s">
        <v>930</v>
      </c>
      <c r="B309" s="46" t="s">
        <v>214</v>
      </c>
      <c r="C309" s="44" t="s">
        <v>534</v>
      </c>
      <c r="D309" s="47">
        <v>14084</v>
      </c>
      <c r="E309" s="46" t="s">
        <v>949</v>
      </c>
      <c r="F309" s="35">
        <v>7500</v>
      </c>
      <c r="G309" s="35">
        <v>7500</v>
      </c>
      <c r="H309" s="35"/>
      <c r="I309" s="35">
        <f>G309+H309</f>
        <v>7500</v>
      </c>
      <c r="J309" s="36">
        <f>IF(G309=0,100%,(I309-G309)/G309)</f>
        <v>0</v>
      </c>
      <c r="K309" s="48" t="s">
        <v>14</v>
      </c>
      <c r="L309" s="48" t="s">
        <v>14</v>
      </c>
      <c r="M309" s="38">
        <v>42886</v>
      </c>
      <c r="N309" s="48"/>
      <c r="O309" s="35">
        <v>7500</v>
      </c>
      <c r="P309" s="35"/>
      <c r="Q309" s="35"/>
      <c r="R309" s="35"/>
      <c r="S309" s="58"/>
      <c r="T309" s="58"/>
    </row>
    <row r="310" spans="1:20" s="15" customFormat="1" ht="18" customHeight="1" x14ac:dyDescent="0.2">
      <c r="A310" s="43" t="s">
        <v>931</v>
      </c>
      <c r="B310" s="46" t="s">
        <v>21</v>
      </c>
      <c r="C310" s="44" t="s">
        <v>947</v>
      </c>
      <c r="D310" s="47">
        <v>14222</v>
      </c>
      <c r="E310" s="46" t="s">
        <v>950</v>
      </c>
      <c r="F310" s="35">
        <f>8000+8000</f>
        <v>16000</v>
      </c>
      <c r="G310" s="35">
        <v>16250</v>
      </c>
      <c r="H310" s="35">
        <f>8000+8000</f>
        <v>16000</v>
      </c>
      <c r="I310" s="35">
        <f>G310+H310</f>
        <v>32250</v>
      </c>
      <c r="J310" s="36">
        <f>IF(G310=0,100%,(I310-G310)/G310)</f>
        <v>0.98461538461538467</v>
      </c>
      <c r="K310" s="48" t="s">
        <v>14</v>
      </c>
      <c r="L310" s="48" t="s">
        <v>14</v>
      </c>
      <c r="M310" s="38">
        <v>42916</v>
      </c>
      <c r="N310" s="48" t="s">
        <v>28</v>
      </c>
      <c r="O310" s="35">
        <v>8000</v>
      </c>
      <c r="P310" s="35">
        <v>8000</v>
      </c>
      <c r="Q310" s="35"/>
      <c r="R310" s="35"/>
      <c r="S310" s="58"/>
      <c r="T310" s="58"/>
    </row>
    <row r="311" spans="1:20" s="15" customFormat="1" ht="26.25" customHeight="1" x14ac:dyDescent="0.2">
      <c r="A311" s="43" t="s">
        <v>932</v>
      </c>
      <c r="B311" s="46" t="s">
        <v>21</v>
      </c>
      <c r="C311" s="44" t="s">
        <v>948</v>
      </c>
      <c r="D311" s="47">
        <v>14363</v>
      </c>
      <c r="E311" s="46" t="s">
        <v>951</v>
      </c>
      <c r="F311" s="35">
        <v>6820</v>
      </c>
      <c r="G311" s="35">
        <v>6820</v>
      </c>
      <c r="H311" s="35">
        <v>0</v>
      </c>
      <c r="I311" s="35">
        <f>G311+H311</f>
        <v>6820</v>
      </c>
      <c r="J311" s="36">
        <f>IF(G311=0,100%,(I311-G311)/G311)</f>
        <v>0</v>
      </c>
      <c r="K311" s="48" t="s">
        <v>14</v>
      </c>
      <c r="L311" s="48" t="s">
        <v>15</v>
      </c>
      <c r="M311" s="38">
        <v>42916</v>
      </c>
      <c r="N311" s="48"/>
      <c r="O311" s="35">
        <v>6820</v>
      </c>
      <c r="P311" s="35"/>
      <c r="Q311" s="35"/>
      <c r="R311" s="35"/>
      <c r="S311" s="58"/>
      <c r="T311" s="58"/>
    </row>
    <row r="312" spans="1:20" s="15" customFormat="1" ht="26.25" customHeight="1" x14ac:dyDescent="0.2">
      <c r="A312" s="43" t="s">
        <v>933</v>
      </c>
      <c r="B312" s="46" t="s">
        <v>21</v>
      </c>
      <c r="C312" s="44" t="s">
        <v>511</v>
      </c>
      <c r="D312" s="47">
        <v>14057</v>
      </c>
      <c r="E312" s="46" t="s">
        <v>1184</v>
      </c>
      <c r="F312" s="35">
        <f>99000*3</f>
        <v>297000</v>
      </c>
      <c r="G312" s="35">
        <f>99000*3</f>
        <v>297000</v>
      </c>
      <c r="H312" s="35">
        <v>0</v>
      </c>
      <c r="I312" s="35">
        <f t="shared" ref="I312:I335" si="15">G312+H312</f>
        <v>297000</v>
      </c>
      <c r="J312" s="36">
        <f t="shared" ref="J312:J335" si="16">IF(G312=0,100%,(I312-G312)/G312)</f>
        <v>0</v>
      </c>
      <c r="K312" s="48" t="s">
        <v>14</v>
      </c>
      <c r="L312" s="48" t="s">
        <v>14</v>
      </c>
      <c r="M312" s="38">
        <v>42916</v>
      </c>
      <c r="N312" s="48" t="s">
        <v>18</v>
      </c>
      <c r="O312" s="35">
        <v>99000</v>
      </c>
      <c r="P312" s="35">
        <v>99000</v>
      </c>
      <c r="Q312" s="35">
        <v>99000</v>
      </c>
      <c r="R312" s="35"/>
      <c r="S312" s="58"/>
      <c r="T312" s="58"/>
    </row>
    <row r="313" spans="1:20" s="15" customFormat="1" ht="26.25" customHeight="1" x14ac:dyDescent="0.2">
      <c r="A313" s="43" t="s">
        <v>934</v>
      </c>
      <c r="B313" s="46" t="s">
        <v>21</v>
      </c>
      <c r="C313" s="44" t="s">
        <v>952</v>
      </c>
      <c r="D313" s="47">
        <v>14238</v>
      </c>
      <c r="E313" s="46" t="s">
        <v>962</v>
      </c>
      <c r="F313" s="35">
        <f>60000*3</f>
        <v>180000</v>
      </c>
      <c r="G313" s="35">
        <f>60000*3</f>
        <v>180000</v>
      </c>
      <c r="H313" s="35">
        <v>0</v>
      </c>
      <c r="I313" s="35">
        <f t="shared" si="15"/>
        <v>180000</v>
      </c>
      <c r="J313" s="36">
        <f t="shared" si="16"/>
        <v>0</v>
      </c>
      <c r="K313" s="48" t="s">
        <v>14</v>
      </c>
      <c r="L313" s="48" t="s">
        <v>14</v>
      </c>
      <c r="M313" s="38">
        <v>42916</v>
      </c>
      <c r="N313" s="48" t="s">
        <v>18</v>
      </c>
      <c r="O313" s="35">
        <v>60000</v>
      </c>
      <c r="P313" s="35">
        <v>60000</v>
      </c>
      <c r="Q313" s="35">
        <v>60000</v>
      </c>
      <c r="R313" s="35"/>
      <c r="S313" s="58"/>
      <c r="T313" s="58"/>
    </row>
    <row r="314" spans="1:20" s="15" customFormat="1" ht="26.25" customHeight="1" x14ac:dyDescent="0.2">
      <c r="A314" s="43" t="s">
        <v>935</v>
      </c>
      <c r="B314" s="46" t="s">
        <v>21</v>
      </c>
      <c r="C314" s="44" t="s">
        <v>953</v>
      </c>
      <c r="D314" s="47">
        <v>14260</v>
      </c>
      <c r="E314" s="46" t="s">
        <v>963</v>
      </c>
      <c r="F314" s="35">
        <v>87879</v>
      </c>
      <c r="G314" s="35">
        <v>87879</v>
      </c>
      <c r="H314" s="35">
        <v>0</v>
      </c>
      <c r="I314" s="35">
        <f t="shared" si="15"/>
        <v>87879</v>
      </c>
      <c r="J314" s="36">
        <f t="shared" si="16"/>
        <v>0</v>
      </c>
      <c r="K314" s="48" t="s">
        <v>14</v>
      </c>
      <c r="L314" s="48" t="s">
        <v>15</v>
      </c>
      <c r="M314" s="38">
        <v>43008</v>
      </c>
      <c r="N314" s="48"/>
      <c r="O314" s="35">
        <v>87879</v>
      </c>
      <c r="P314" s="35"/>
      <c r="Q314" s="35"/>
      <c r="R314" s="35"/>
      <c r="S314" s="58"/>
      <c r="T314" s="58"/>
    </row>
    <row r="315" spans="1:20" s="15" customFormat="1" ht="26.25" customHeight="1" x14ac:dyDescent="0.2">
      <c r="A315" s="43" t="s">
        <v>936</v>
      </c>
      <c r="B315" s="46" t="s">
        <v>69</v>
      </c>
      <c r="C315" s="44" t="s">
        <v>401</v>
      </c>
      <c r="D315" s="47">
        <v>14281</v>
      </c>
      <c r="E315" s="46" t="s">
        <v>964</v>
      </c>
      <c r="F315" s="35">
        <v>90350</v>
      </c>
      <c r="G315" s="35">
        <v>90350</v>
      </c>
      <c r="H315" s="35">
        <v>0</v>
      </c>
      <c r="I315" s="35">
        <f t="shared" si="15"/>
        <v>90350</v>
      </c>
      <c r="J315" s="36">
        <f t="shared" si="16"/>
        <v>0</v>
      </c>
      <c r="K315" s="48" t="s">
        <v>14</v>
      </c>
      <c r="L315" s="48" t="s">
        <v>14</v>
      </c>
      <c r="M315" s="38">
        <v>43160</v>
      </c>
      <c r="N315" s="48"/>
      <c r="O315" s="35">
        <v>90350</v>
      </c>
      <c r="P315" s="35"/>
      <c r="Q315" s="35"/>
      <c r="R315" s="35"/>
      <c r="S315" s="58"/>
      <c r="T315" s="58"/>
    </row>
    <row r="316" spans="1:20" s="15" customFormat="1" ht="26.25" customHeight="1" x14ac:dyDescent="0.2">
      <c r="A316" s="43" t="s">
        <v>937</v>
      </c>
      <c r="B316" s="46" t="s">
        <v>69</v>
      </c>
      <c r="C316" s="44" t="s">
        <v>954</v>
      </c>
      <c r="D316" s="47">
        <v>14296</v>
      </c>
      <c r="E316" s="46" t="s">
        <v>1185</v>
      </c>
      <c r="F316" s="35">
        <f>75000*3</f>
        <v>225000</v>
      </c>
      <c r="G316" s="35">
        <f>75000*3</f>
        <v>225000</v>
      </c>
      <c r="H316" s="35">
        <v>0</v>
      </c>
      <c r="I316" s="35">
        <f t="shared" si="15"/>
        <v>225000</v>
      </c>
      <c r="J316" s="36">
        <f t="shared" si="16"/>
        <v>0</v>
      </c>
      <c r="K316" s="48" t="s">
        <v>14</v>
      </c>
      <c r="L316" s="48" t="s">
        <v>14</v>
      </c>
      <c r="M316" s="38">
        <v>43207</v>
      </c>
      <c r="N316" s="48" t="s">
        <v>18</v>
      </c>
      <c r="O316" s="35">
        <v>75000</v>
      </c>
      <c r="P316" s="35">
        <v>75000</v>
      </c>
      <c r="Q316" s="35">
        <v>75000</v>
      </c>
      <c r="R316" s="35"/>
      <c r="S316" s="58"/>
      <c r="T316" s="58"/>
    </row>
    <row r="317" spans="1:20" s="15" customFormat="1" ht="26.25" customHeight="1" x14ac:dyDescent="0.2">
      <c r="A317" s="43" t="s">
        <v>938</v>
      </c>
      <c r="B317" s="46" t="s">
        <v>214</v>
      </c>
      <c r="C317" s="44" t="s">
        <v>955</v>
      </c>
      <c r="D317" s="47">
        <v>14330</v>
      </c>
      <c r="E317" s="46" t="s">
        <v>965</v>
      </c>
      <c r="F317" s="35">
        <f>68308+50000</f>
        <v>118308</v>
      </c>
      <c r="G317" s="35">
        <f>68308+50000</f>
        <v>118308</v>
      </c>
      <c r="H317" s="35">
        <v>0</v>
      </c>
      <c r="I317" s="35">
        <f t="shared" si="15"/>
        <v>118308</v>
      </c>
      <c r="J317" s="36">
        <f t="shared" si="16"/>
        <v>0</v>
      </c>
      <c r="K317" s="48" t="s">
        <v>14</v>
      </c>
      <c r="L317" s="48" t="s">
        <v>14</v>
      </c>
      <c r="M317" s="38">
        <v>43931</v>
      </c>
      <c r="N317" s="48" t="s">
        <v>18</v>
      </c>
      <c r="O317" s="35">
        <v>68308</v>
      </c>
      <c r="P317" s="35"/>
      <c r="Q317" s="35"/>
      <c r="R317" s="35">
        <v>50000</v>
      </c>
      <c r="S317" s="58"/>
      <c r="T317" s="58"/>
    </row>
    <row r="318" spans="1:20" s="15" customFormat="1" ht="26.25" customHeight="1" x14ac:dyDescent="0.2">
      <c r="A318" s="43" t="s">
        <v>939</v>
      </c>
      <c r="B318" s="46" t="s">
        <v>21</v>
      </c>
      <c r="C318" s="44" t="s">
        <v>956</v>
      </c>
      <c r="D318" s="47">
        <v>14332</v>
      </c>
      <c r="E318" s="46" t="s">
        <v>966</v>
      </c>
      <c r="F318" s="35">
        <v>75000</v>
      </c>
      <c r="G318" s="35">
        <v>75000</v>
      </c>
      <c r="H318" s="35">
        <v>0</v>
      </c>
      <c r="I318" s="35">
        <f t="shared" si="15"/>
        <v>75000</v>
      </c>
      <c r="J318" s="36">
        <f t="shared" si="16"/>
        <v>0</v>
      </c>
      <c r="K318" s="48" t="s">
        <v>14</v>
      </c>
      <c r="L318" s="48" t="s">
        <v>15</v>
      </c>
      <c r="M318" s="38">
        <v>43040</v>
      </c>
      <c r="N318" s="48"/>
      <c r="O318" s="35">
        <v>75000</v>
      </c>
      <c r="P318" s="35"/>
      <c r="Q318" s="35"/>
      <c r="R318" s="35"/>
      <c r="S318" s="58"/>
      <c r="T318" s="58"/>
    </row>
    <row r="319" spans="1:20" s="15" customFormat="1" ht="26.25" customHeight="1" x14ac:dyDescent="0.2">
      <c r="A319" s="43" t="s">
        <v>940</v>
      </c>
      <c r="B319" s="46" t="s">
        <v>26</v>
      </c>
      <c r="C319" s="44" t="s">
        <v>55</v>
      </c>
      <c r="D319" s="54" t="s">
        <v>961</v>
      </c>
      <c r="E319" s="46" t="s">
        <v>967</v>
      </c>
      <c r="F319" s="35">
        <f>10000*3</f>
        <v>30000</v>
      </c>
      <c r="G319" s="35">
        <v>99000</v>
      </c>
      <c r="H319" s="35">
        <f>1120650+50000+10000*3</f>
        <v>1200650</v>
      </c>
      <c r="I319" s="35">
        <f t="shared" si="15"/>
        <v>1299650</v>
      </c>
      <c r="J319" s="36">
        <f t="shared" si="16"/>
        <v>12.127777777777778</v>
      </c>
      <c r="K319" s="48" t="s">
        <v>14</v>
      </c>
      <c r="L319" s="48" t="s">
        <v>14</v>
      </c>
      <c r="M319" s="38">
        <v>43281</v>
      </c>
      <c r="N319" s="48" t="s">
        <v>28</v>
      </c>
      <c r="O319" s="35">
        <v>10000</v>
      </c>
      <c r="P319" s="35"/>
      <c r="Q319" s="35">
        <v>10000</v>
      </c>
      <c r="R319" s="35">
        <v>10000</v>
      </c>
      <c r="S319" s="58"/>
      <c r="T319" s="58"/>
    </row>
    <row r="320" spans="1:20" s="15" customFormat="1" ht="26.25" customHeight="1" x14ac:dyDescent="0.2">
      <c r="A320" s="43" t="s">
        <v>941</v>
      </c>
      <c r="B320" s="46" t="s">
        <v>21</v>
      </c>
      <c r="C320" s="44" t="s">
        <v>957</v>
      </c>
      <c r="D320" s="47">
        <v>14364</v>
      </c>
      <c r="E320" s="46" t="s">
        <v>968</v>
      </c>
      <c r="F320" s="35">
        <f>98000*3</f>
        <v>294000</v>
      </c>
      <c r="G320" s="35">
        <f>F320</f>
        <v>294000</v>
      </c>
      <c r="H320" s="35">
        <v>0</v>
      </c>
      <c r="I320" s="35">
        <f t="shared" si="15"/>
        <v>294000</v>
      </c>
      <c r="J320" s="36">
        <f t="shared" si="16"/>
        <v>0</v>
      </c>
      <c r="K320" s="48" t="s">
        <v>14</v>
      </c>
      <c r="L320" s="48" t="s">
        <v>14</v>
      </c>
      <c r="M320" s="38">
        <v>42916</v>
      </c>
      <c r="N320" s="48" t="s">
        <v>18</v>
      </c>
      <c r="O320" s="35">
        <v>98000</v>
      </c>
      <c r="P320" s="35">
        <v>98000</v>
      </c>
      <c r="Q320" s="35">
        <v>98000</v>
      </c>
      <c r="R320" s="35"/>
      <c r="S320" s="58"/>
      <c r="T320" s="58"/>
    </row>
    <row r="321" spans="1:20" s="15" customFormat="1" ht="26.25" customHeight="1" x14ac:dyDescent="0.2">
      <c r="A321" s="43" t="s">
        <v>942</v>
      </c>
      <c r="B321" s="46" t="s">
        <v>21</v>
      </c>
      <c r="C321" s="44" t="s">
        <v>958</v>
      </c>
      <c r="D321" s="47">
        <v>14365</v>
      </c>
      <c r="E321" s="46" t="s">
        <v>223</v>
      </c>
      <c r="F321" s="35">
        <f>98000*3</f>
        <v>294000</v>
      </c>
      <c r="G321" s="35">
        <f>F321</f>
        <v>294000</v>
      </c>
      <c r="H321" s="35">
        <v>0</v>
      </c>
      <c r="I321" s="35">
        <f t="shared" si="15"/>
        <v>294000</v>
      </c>
      <c r="J321" s="36">
        <f t="shared" si="16"/>
        <v>0</v>
      </c>
      <c r="K321" s="48" t="s">
        <v>14</v>
      </c>
      <c r="L321" s="48" t="s">
        <v>14</v>
      </c>
      <c r="M321" s="38">
        <v>42916</v>
      </c>
      <c r="N321" s="48" t="s">
        <v>18</v>
      </c>
      <c r="O321" s="35">
        <v>98000</v>
      </c>
      <c r="P321" s="35">
        <v>98000</v>
      </c>
      <c r="Q321" s="35">
        <v>98000</v>
      </c>
      <c r="R321" s="35"/>
      <c r="S321" s="58"/>
      <c r="T321" s="58"/>
    </row>
    <row r="322" spans="1:20" s="15" customFormat="1" ht="26.25" customHeight="1" x14ac:dyDescent="0.2">
      <c r="A322" s="43" t="s">
        <v>943</v>
      </c>
      <c r="B322" s="46" t="s">
        <v>19</v>
      </c>
      <c r="C322" s="44" t="s">
        <v>59</v>
      </c>
      <c r="D322" s="47">
        <v>14366</v>
      </c>
      <c r="E322" s="46" t="s">
        <v>297</v>
      </c>
      <c r="F322" s="35">
        <v>3941</v>
      </c>
      <c r="G322" s="35">
        <v>73431</v>
      </c>
      <c r="H322" s="35">
        <v>3941</v>
      </c>
      <c r="I322" s="35">
        <f t="shared" si="15"/>
        <v>77372</v>
      </c>
      <c r="J322" s="36">
        <f t="shared" si="16"/>
        <v>5.3669431166673477E-2</v>
      </c>
      <c r="K322" s="48" t="s">
        <v>14</v>
      </c>
      <c r="L322" s="48" t="s">
        <v>14</v>
      </c>
      <c r="M322" s="38">
        <v>42853</v>
      </c>
      <c r="N322" s="48" t="s">
        <v>28</v>
      </c>
      <c r="O322" s="35">
        <v>3941</v>
      </c>
      <c r="P322" s="35"/>
      <c r="Q322" s="35"/>
      <c r="R322" s="35"/>
      <c r="S322" s="58"/>
      <c r="T322" s="58"/>
    </row>
    <row r="323" spans="1:20" s="15" customFormat="1" ht="26.25" customHeight="1" x14ac:dyDescent="0.2">
      <c r="A323" s="43" t="s">
        <v>944</v>
      </c>
      <c r="B323" s="46" t="s">
        <v>21</v>
      </c>
      <c r="C323" s="44" t="s">
        <v>959</v>
      </c>
      <c r="D323" s="47">
        <v>14368</v>
      </c>
      <c r="E323" s="46" t="s">
        <v>223</v>
      </c>
      <c r="F323" s="35">
        <f>98000*3</f>
        <v>294000</v>
      </c>
      <c r="G323" s="35">
        <f>F323</f>
        <v>294000</v>
      </c>
      <c r="H323" s="35">
        <v>0</v>
      </c>
      <c r="I323" s="35">
        <f t="shared" si="15"/>
        <v>294000</v>
      </c>
      <c r="J323" s="36">
        <f t="shared" si="16"/>
        <v>0</v>
      </c>
      <c r="K323" s="48" t="s">
        <v>14</v>
      </c>
      <c r="L323" s="48" t="s">
        <v>14</v>
      </c>
      <c r="M323" s="38">
        <v>42916</v>
      </c>
      <c r="N323" s="48" t="s">
        <v>18</v>
      </c>
      <c r="O323" s="35">
        <v>98000</v>
      </c>
      <c r="P323" s="35">
        <v>98000</v>
      </c>
      <c r="Q323" s="35">
        <v>98000</v>
      </c>
      <c r="R323" s="35"/>
      <c r="S323" s="58"/>
      <c r="T323" s="58"/>
    </row>
    <row r="324" spans="1:20" s="15" customFormat="1" ht="18" customHeight="1" x14ac:dyDescent="0.2">
      <c r="A324" s="43" t="s">
        <v>945</v>
      </c>
      <c r="B324" s="46" t="s">
        <v>372</v>
      </c>
      <c r="C324" s="44" t="s">
        <v>960</v>
      </c>
      <c r="D324" s="47">
        <v>14434</v>
      </c>
      <c r="E324" s="46" t="s">
        <v>969</v>
      </c>
      <c r="F324" s="35">
        <f>84000*3</f>
        <v>252000</v>
      </c>
      <c r="G324" s="35">
        <f>84000*3</f>
        <v>252000</v>
      </c>
      <c r="H324" s="35">
        <v>0</v>
      </c>
      <c r="I324" s="35">
        <f t="shared" si="15"/>
        <v>252000</v>
      </c>
      <c r="J324" s="36">
        <f t="shared" si="16"/>
        <v>0</v>
      </c>
      <c r="K324" s="48" t="s">
        <v>14</v>
      </c>
      <c r="L324" s="48" t="s">
        <v>15</v>
      </c>
      <c r="M324" s="38">
        <v>43210</v>
      </c>
      <c r="N324" s="48" t="s">
        <v>18</v>
      </c>
      <c r="O324" s="35">
        <v>84000</v>
      </c>
      <c r="P324" s="35">
        <v>84000</v>
      </c>
      <c r="Q324" s="35">
        <v>84000</v>
      </c>
      <c r="R324" s="35"/>
      <c r="S324" s="58"/>
      <c r="T324" s="58"/>
    </row>
    <row r="325" spans="1:20" s="15" customFormat="1" ht="26.25" customHeight="1" x14ac:dyDescent="0.2">
      <c r="A325" s="43" t="s">
        <v>946</v>
      </c>
      <c r="B325" s="46" t="s">
        <v>21</v>
      </c>
      <c r="C325" s="44" t="s">
        <v>603</v>
      </c>
      <c r="D325" s="47">
        <v>14435</v>
      </c>
      <c r="E325" s="46" t="s">
        <v>607</v>
      </c>
      <c r="F325" s="35">
        <v>78585</v>
      </c>
      <c r="G325" s="35">
        <v>78585</v>
      </c>
      <c r="H325" s="35">
        <v>0</v>
      </c>
      <c r="I325" s="35">
        <f t="shared" si="15"/>
        <v>78585</v>
      </c>
      <c r="J325" s="36">
        <f t="shared" si="16"/>
        <v>0</v>
      </c>
      <c r="K325" s="48" t="s">
        <v>14</v>
      </c>
      <c r="L325" s="48" t="s">
        <v>14</v>
      </c>
      <c r="M325" s="38">
        <v>42914</v>
      </c>
      <c r="N325" s="48"/>
      <c r="O325" s="35">
        <v>78585</v>
      </c>
      <c r="P325" s="35"/>
      <c r="Q325" s="35"/>
      <c r="R325" s="35"/>
      <c r="S325" s="58"/>
      <c r="T325" s="58"/>
    </row>
    <row r="326" spans="1:20" s="15" customFormat="1" ht="26.25" customHeight="1" x14ac:dyDescent="0.2">
      <c r="A326" s="43" t="s">
        <v>971</v>
      </c>
      <c r="B326" s="46" t="s">
        <v>17</v>
      </c>
      <c r="C326" s="44" t="s">
        <v>981</v>
      </c>
      <c r="D326" s="47">
        <v>14169</v>
      </c>
      <c r="E326" s="46" t="s">
        <v>992</v>
      </c>
      <c r="F326" s="35">
        <f>45000*3</f>
        <v>135000</v>
      </c>
      <c r="G326" s="35">
        <f>45000*3</f>
        <v>135000</v>
      </c>
      <c r="H326" s="35">
        <v>0</v>
      </c>
      <c r="I326" s="35">
        <f t="shared" si="15"/>
        <v>135000</v>
      </c>
      <c r="J326" s="36">
        <f t="shared" si="16"/>
        <v>0</v>
      </c>
      <c r="K326" s="48" t="s">
        <v>14</v>
      </c>
      <c r="L326" s="48" t="s">
        <v>15</v>
      </c>
      <c r="M326" s="38">
        <v>43281</v>
      </c>
      <c r="N326" s="48" t="s">
        <v>18</v>
      </c>
      <c r="O326" s="35">
        <v>45000</v>
      </c>
      <c r="P326" s="35">
        <v>45000</v>
      </c>
      <c r="Q326" s="35">
        <v>45000</v>
      </c>
      <c r="R326" s="35"/>
      <c r="S326" s="58"/>
      <c r="T326" s="58"/>
    </row>
    <row r="327" spans="1:20" s="15" customFormat="1" ht="26.25" customHeight="1" x14ac:dyDescent="0.2">
      <c r="A327" s="43" t="s">
        <v>972</v>
      </c>
      <c r="B327" s="46" t="s">
        <v>19</v>
      </c>
      <c r="C327" s="44" t="s">
        <v>982</v>
      </c>
      <c r="D327" s="47">
        <v>14359</v>
      </c>
      <c r="E327" s="46" t="s">
        <v>993</v>
      </c>
      <c r="F327" s="35">
        <v>9865</v>
      </c>
      <c r="G327" s="35">
        <v>9865</v>
      </c>
      <c r="H327" s="35">
        <v>0</v>
      </c>
      <c r="I327" s="35">
        <f t="shared" si="15"/>
        <v>9865</v>
      </c>
      <c r="J327" s="36">
        <f t="shared" si="16"/>
        <v>0</v>
      </c>
      <c r="K327" s="48" t="s">
        <v>14</v>
      </c>
      <c r="L327" s="48" t="s">
        <v>14</v>
      </c>
      <c r="M327" s="38">
        <v>42916</v>
      </c>
      <c r="N327" s="48"/>
      <c r="O327" s="35">
        <v>9865</v>
      </c>
      <c r="P327" s="35"/>
      <c r="Q327" s="35"/>
      <c r="R327" s="35"/>
      <c r="S327" s="58"/>
      <c r="T327" s="58"/>
    </row>
    <row r="328" spans="1:20" s="15" customFormat="1" ht="26.25" customHeight="1" x14ac:dyDescent="0.2">
      <c r="A328" s="43" t="s">
        <v>973</v>
      </c>
      <c r="B328" s="46" t="s">
        <v>19</v>
      </c>
      <c r="C328" s="44" t="s">
        <v>983</v>
      </c>
      <c r="D328" s="47">
        <v>14360</v>
      </c>
      <c r="E328" s="46" t="s">
        <v>994</v>
      </c>
      <c r="F328" s="35">
        <v>10125</v>
      </c>
      <c r="G328" s="35">
        <v>10125</v>
      </c>
      <c r="H328" s="35">
        <v>0</v>
      </c>
      <c r="I328" s="35">
        <f t="shared" si="15"/>
        <v>10125</v>
      </c>
      <c r="J328" s="36">
        <f t="shared" si="16"/>
        <v>0</v>
      </c>
      <c r="K328" s="48" t="s">
        <v>14</v>
      </c>
      <c r="L328" s="48" t="s">
        <v>14</v>
      </c>
      <c r="M328" s="38">
        <v>42916</v>
      </c>
      <c r="N328" s="48"/>
      <c r="O328" s="35">
        <v>10125</v>
      </c>
      <c r="P328" s="35"/>
      <c r="Q328" s="35"/>
      <c r="R328" s="35"/>
      <c r="S328" s="58"/>
      <c r="T328" s="58"/>
    </row>
    <row r="329" spans="1:20" s="15" customFormat="1" ht="26.25" customHeight="1" x14ac:dyDescent="0.2">
      <c r="A329" s="43" t="s">
        <v>974</v>
      </c>
      <c r="B329" s="46" t="s">
        <v>21</v>
      </c>
      <c r="C329" s="44" t="s">
        <v>984</v>
      </c>
      <c r="D329" s="47">
        <v>14381</v>
      </c>
      <c r="E329" s="46" t="s">
        <v>995</v>
      </c>
      <c r="F329" s="35">
        <v>6636</v>
      </c>
      <c r="G329" s="35">
        <v>6636</v>
      </c>
      <c r="H329" s="35">
        <v>0</v>
      </c>
      <c r="I329" s="35">
        <f t="shared" si="15"/>
        <v>6636</v>
      </c>
      <c r="J329" s="36">
        <f t="shared" si="16"/>
        <v>0</v>
      </c>
      <c r="K329" s="48" t="s">
        <v>14</v>
      </c>
      <c r="L329" s="48" t="s">
        <v>14</v>
      </c>
      <c r="M329" s="38">
        <v>42825</v>
      </c>
      <c r="N329" s="48"/>
      <c r="O329" s="35">
        <v>6636</v>
      </c>
      <c r="P329" s="35"/>
      <c r="Q329" s="35"/>
      <c r="R329" s="35"/>
      <c r="S329" s="58"/>
      <c r="T329" s="58"/>
    </row>
    <row r="330" spans="1:20" s="15" customFormat="1" ht="26.25" customHeight="1" x14ac:dyDescent="0.2">
      <c r="A330" s="43" t="s">
        <v>975</v>
      </c>
      <c r="B330" s="46" t="s">
        <v>20</v>
      </c>
      <c r="C330" s="44" t="s">
        <v>985</v>
      </c>
      <c r="D330" s="54" t="s">
        <v>990</v>
      </c>
      <c r="E330" s="46" t="s">
        <v>996</v>
      </c>
      <c r="F330" s="35">
        <f>5000+5000</f>
        <v>10000</v>
      </c>
      <c r="G330" s="35">
        <v>14290</v>
      </c>
      <c r="H330" s="35">
        <f>5000+5000</f>
        <v>10000</v>
      </c>
      <c r="I330" s="35">
        <f t="shared" si="15"/>
        <v>24290</v>
      </c>
      <c r="J330" s="36">
        <f t="shared" si="16"/>
        <v>0.69979006298110569</v>
      </c>
      <c r="K330" s="48" t="s">
        <v>14</v>
      </c>
      <c r="L330" s="48" t="s">
        <v>14</v>
      </c>
      <c r="M330" s="38">
        <v>42916</v>
      </c>
      <c r="N330" s="48" t="s">
        <v>28</v>
      </c>
      <c r="O330" s="35">
        <v>5000</v>
      </c>
      <c r="P330" s="35">
        <v>5000</v>
      </c>
      <c r="Q330" s="35"/>
      <c r="R330" s="35"/>
      <c r="S330" s="58"/>
      <c r="T330" s="58"/>
    </row>
    <row r="331" spans="1:20" s="15" customFormat="1" ht="26.25" customHeight="1" x14ac:dyDescent="0.2">
      <c r="A331" s="43" t="s">
        <v>976</v>
      </c>
      <c r="B331" s="46" t="s">
        <v>69</v>
      </c>
      <c r="C331" s="44" t="s">
        <v>986</v>
      </c>
      <c r="D331" s="47">
        <v>14450</v>
      </c>
      <c r="E331" s="46" t="s">
        <v>997</v>
      </c>
      <c r="F331" s="35">
        <f>48000+48000</f>
        <v>96000</v>
      </c>
      <c r="G331" s="35">
        <f>48000+48000</f>
        <v>96000</v>
      </c>
      <c r="H331" s="35">
        <v>0</v>
      </c>
      <c r="I331" s="35">
        <f t="shared" si="15"/>
        <v>96000</v>
      </c>
      <c r="J331" s="36">
        <f t="shared" si="16"/>
        <v>0</v>
      </c>
      <c r="K331" s="48" t="s">
        <v>14</v>
      </c>
      <c r="L331" s="48" t="s">
        <v>15</v>
      </c>
      <c r="M331" s="38">
        <v>43191</v>
      </c>
      <c r="N331" s="48" t="s">
        <v>18</v>
      </c>
      <c r="O331" s="35">
        <v>48000</v>
      </c>
      <c r="P331" s="35">
        <v>48000</v>
      </c>
      <c r="Q331" s="35"/>
      <c r="R331" s="35"/>
      <c r="S331" s="58"/>
      <c r="T331" s="58"/>
    </row>
    <row r="332" spans="1:20" s="15" customFormat="1" ht="26.25" customHeight="1" x14ac:dyDescent="0.2">
      <c r="A332" s="43" t="s">
        <v>977</v>
      </c>
      <c r="B332" s="46" t="s">
        <v>22</v>
      </c>
      <c r="C332" s="44" t="s">
        <v>987</v>
      </c>
      <c r="D332" s="47">
        <v>14475</v>
      </c>
      <c r="E332" s="46" t="s">
        <v>998</v>
      </c>
      <c r="F332" s="35">
        <v>25000</v>
      </c>
      <c r="G332" s="35">
        <v>25000</v>
      </c>
      <c r="H332" s="35">
        <v>0</v>
      </c>
      <c r="I332" s="35">
        <f t="shared" si="15"/>
        <v>25000</v>
      </c>
      <c r="J332" s="36">
        <f t="shared" si="16"/>
        <v>0</v>
      </c>
      <c r="K332" s="48" t="s">
        <v>14</v>
      </c>
      <c r="L332" s="48" t="s">
        <v>14</v>
      </c>
      <c r="M332" s="38">
        <v>42916</v>
      </c>
      <c r="N332" s="48"/>
      <c r="O332" s="35">
        <v>25000</v>
      </c>
      <c r="P332" s="35"/>
      <c r="Q332" s="35"/>
      <c r="R332" s="35"/>
      <c r="S332" s="58"/>
      <c r="T332" s="58"/>
    </row>
    <row r="333" spans="1:20" s="15" customFormat="1" ht="18" customHeight="1" x14ac:dyDescent="0.2">
      <c r="A333" s="43" t="s">
        <v>978</v>
      </c>
      <c r="B333" s="46" t="s">
        <v>30</v>
      </c>
      <c r="C333" s="44" t="s">
        <v>988</v>
      </c>
      <c r="D333" s="47">
        <v>14479</v>
      </c>
      <c r="E333" s="46" t="s">
        <v>999</v>
      </c>
      <c r="F333" s="35">
        <v>40899</v>
      </c>
      <c r="G333" s="35">
        <v>40899</v>
      </c>
      <c r="H333" s="35">
        <v>0</v>
      </c>
      <c r="I333" s="35">
        <f t="shared" si="15"/>
        <v>40899</v>
      </c>
      <c r="J333" s="36">
        <f t="shared" si="16"/>
        <v>0</v>
      </c>
      <c r="K333" s="48" t="s">
        <v>14</v>
      </c>
      <c r="L333" s="48" t="s">
        <v>15</v>
      </c>
      <c r="M333" s="38">
        <v>43586</v>
      </c>
      <c r="N333" s="48"/>
      <c r="O333" s="35">
        <v>40899</v>
      </c>
      <c r="P333" s="35"/>
      <c r="Q333" s="35"/>
      <c r="R333" s="35"/>
      <c r="S333" s="58"/>
      <c r="T333" s="58"/>
    </row>
    <row r="334" spans="1:20" s="15" customFormat="1" ht="26.25" customHeight="1" x14ac:dyDescent="0.2">
      <c r="A334" s="43" t="s">
        <v>979</v>
      </c>
      <c r="B334" s="46" t="s">
        <v>19</v>
      </c>
      <c r="C334" s="44" t="s">
        <v>317</v>
      </c>
      <c r="D334" s="54" t="s">
        <v>991</v>
      </c>
      <c r="E334" s="46" t="s">
        <v>1000</v>
      </c>
      <c r="F334" s="35">
        <v>6000</v>
      </c>
      <c r="G334" s="35">
        <v>16331</v>
      </c>
      <c r="H334" s="35">
        <v>6000</v>
      </c>
      <c r="I334" s="35">
        <f t="shared" si="15"/>
        <v>22331</v>
      </c>
      <c r="J334" s="36">
        <f t="shared" si="16"/>
        <v>0.36739942440756845</v>
      </c>
      <c r="K334" s="48" t="s">
        <v>14</v>
      </c>
      <c r="L334" s="48" t="s">
        <v>14</v>
      </c>
      <c r="M334" s="38">
        <v>42916</v>
      </c>
      <c r="N334" s="48" t="s">
        <v>28</v>
      </c>
      <c r="O334" s="35">
        <v>6000</v>
      </c>
      <c r="P334" s="35"/>
      <c r="Q334" s="35"/>
      <c r="R334" s="35"/>
      <c r="S334" s="58"/>
      <c r="T334" s="58"/>
    </row>
    <row r="335" spans="1:20" s="15" customFormat="1" ht="26.25" customHeight="1" x14ac:dyDescent="0.2">
      <c r="A335" s="43" t="s">
        <v>980</v>
      </c>
      <c r="B335" s="46" t="s">
        <v>20</v>
      </c>
      <c r="C335" s="44" t="s">
        <v>989</v>
      </c>
      <c r="D335" s="47">
        <v>14510</v>
      </c>
      <c r="E335" s="46" t="s">
        <v>1001</v>
      </c>
      <c r="F335" s="35">
        <f>6000*3</f>
        <v>18000</v>
      </c>
      <c r="G335" s="35">
        <f>6000*3</f>
        <v>18000</v>
      </c>
      <c r="H335" s="35">
        <v>0</v>
      </c>
      <c r="I335" s="35">
        <f t="shared" si="15"/>
        <v>18000</v>
      </c>
      <c r="J335" s="36">
        <f t="shared" si="16"/>
        <v>0</v>
      </c>
      <c r="K335" s="48" t="s">
        <v>15</v>
      </c>
      <c r="L335" s="48" t="s">
        <v>14</v>
      </c>
      <c r="M335" s="38">
        <v>43221</v>
      </c>
      <c r="N335" s="48" t="s">
        <v>18</v>
      </c>
      <c r="O335" s="35">
        <v>6000</v>
      </c>
      <c r="P335" s="35">
        <v>6000</v>
      </c>
      <c r="Q335" s="35">
        <v>6000</v>
      </c>
      <c r="R335" s="35"/>
      <c r="S335" s="58"/>
      <c r="T335" s="58"/>
    </row>
    <row r="336" spans="1:20" s="15" customFormat="1" ht="26.25" customHeight="1" x14ac:dyDescent="0.2">
      <c r="A336" s="43" t="s">
        <v>1002</v>
      </c>
      <c r="B336" s="46" t="s">
        <v>21</v>
      </c>
      <c r="C336" s="44" t="s">
        <v>612</v>
      </c>
      <c r="D336" s="47">
        <v>14467</v>
      </c>
      <c r="E336" s="46" t="s">
        <v>1008</v>
      </c>
      <c r="F336" s="35">
        <v>2485</v>
      </c>
      <c r="G336" s="35">
        <v>95000</v>
      </c>
      <c r="H336" s="35">
        <v>2485</v>
      </c>
      <c r="I336" s="35">
        <f>G336+H336</f>
        <v>97485</v>
      </c>
      <c r="J336" s="36">
        <f>IF(G336=0,100%,(I336-G336)/G336)</f>
        <v>2.6157894736842106E-2</v>
      </c>
      <c r="K336" s="48" t="s">
        <v>14</v>
      </c>
      <c r="L336" s="48" t="s">
        <v>14</v>
      </c>
      <c r="M336" s="38">
        <v>42855</v>
      </c>
      <c r="N336" s="48" t="s">
        <v>28</v>
      </c>
      <c r="O336" s="35">
        <v>2485</v>
      </c>
      <c r="P336" s="35"/>
      <c r="Q336" s="35"/>
      <c r="R336" s="35"/>
      <c r="S336" s="58"/>
      <c r="T336" s="58"/>
    </row>
    <row r="337" spans="1:20" s="15" customFormat="1" ht="26.25" customHeight="1" x14ac:dyDescent="0.2">
      <c r="A337" s="43" t="s">
        <v>1003</v>
      </c>
      <c r="B337" s="46" t="s">
        <v>17</v>
      </c>
      <c r="C337" s="44" t="s">
        <v>1006</v>
      </c>
      <c r="D337" s="47">
        <v>14492</v>
      </c>
      <c r="E337" s="46" t="s">
        <v>1009</v>
      </c>
      <c r="F337" s="35">
        <v>90000</v>
      </c>
      <c r="G337" s="35">
        <v>90000</v>
      </c>
      <c r="H337" s="35">
        <v>0</v>
      </c>
      <c r="I337" s="35">
        <f>G337+H337</f>
        <v>90000</v>
      </c>
      <c r="J337" s="36">
        <f>IF(G337=0,100%,(I337-G337)/G337)</f>
        <v>0</v>
      </c>
      <c r="K337" s="48" t="s">
        <v>14</v>
      </c>
      <c r="L337" s="48" t="s">
        <v>14</v>
      </c>
      <c r="M337" s="38">
        <v>43281</v>
      </c>
      <c r="N337" s="48"/>
      <c r="O337" s="35">
        <v>90000</v>
      </c>
      <c r="P337" s="35"/>
      <c r="Q337" s="35"/>
      <c r="R337" s="35"/>
      <c r="S337" s="58"/>
      <c r="T337" s="58"/>
    </row>
    <row r="338" spans="1:20" s="15" customFormat="1" ht="26.25" customHeight="1" x14ac:dyDescent="0.2">
      <c r="A338" s="43" t="s">
        <v>1004</v>
      </c>
      <c r="B338" s="46" t="s">
        <v>20</v>
      </c>
      <c r="C338" s="44" t="s">
        <v>1007</v>
      </c>
      <c r="D338" s="47">
        <v>14509</v>
      </c>
      <c r="E338" s="46" t="s">
        <v>1010</v>
      </c>
      <c r="F338" s="35">
        <f>60000*3</f>
        <v>180000</v>
      </c>
      <c r="G338" s="35">
        <f>60000*3</f>
        <v>180000</v>
      </c>
      <c r="H338" s="35">
        <v>0</v>
      </c>
      <c r="I338" s="35">
        <f>G338+H338</f>
        <v>180000</v>
      </c>
      <c r="J338" s="36">
        <f>IF(G338=0,100%,(I338-G338)/G338)</f>
        <v>0</v>
      </c>
      <c r="K338" s="48" t="s">
        <v>14</v>
      </c>
      <c r="L338" s="48" t="s">
        <v>14</v>
      </c>
      <c r="M338" s="38">
        <v>43221</v>
      </c>
      <c r="N338" s="48" t="s">
        <v>18</v>
      </c>
      <c r="O338" s="35">
        <v>60000</v>
      </c>
      <c r="P338" s="35">
        <v>60000</v>
      </c>
      <c r="Q338" s="35">
        <v>60000</v>
      </c>
      <c r="R338" s="35"/>
      <c r="S338" s="58"/>
      <c r="T338" s="58"/>
    </row>
    <row r="339" spans="1:20" s="15" customFormat="1" ht="26.25" customHeight="1" x14ac:dyDescent="0.2">
      <c r="A339" s="43" t="s">
        <v>1005</v>
      </c>
      <c r="B339" s="46" t="s">
        <v>19</v>
      </c>
      <c r="C339" s="44" t="s">
        <v>358</v>
      </c>
      <c r="D339" s="47">
        <v>14543</v>
      </c>
      <c r="E339" s="46" t="s">
        <v>1011</v>
      </c>
      <c r="F339" s="35">
        <v>15000</v>
      </c>
      <c r="G339" s="35">
        <v>74000</v>
      </c>
      <c r="H339" s="35">
        <v>15000</v>
      </c>
      <c r="I339" s="35">
        <f>G339+H339</f>
        <v>89000</v>
      </c>
      <c r="J339" s="36">
        <f>IF(G339=0,100%,(I339-G339)/G339)</f>
        <v>0.20270270270270271</v>
      </c>
      <c r="K339" s="48" t="s">
        <v>14</v>
      </c>
      <c r="L339" s="48" t="s">
        <v>14</v>
      </c>
      <c r="M339" s="38">
        <v>42916</v>
      </c>
      <c r="N339" s="48" t="s">
        <v>28</v>
      </c>
      <c r="O339" s="35">
        <v>15000</v>
      </c>
      <c r="P339" s="35"/>
      <c r="Q339" s="35"/>
      <c r="R339" s="35"/>
      <c r="S339" s="58"/>
      <c r="T339" s="58"/>
    </row>
    <row r="340" spans="1:20" s="15" customFormat="1" ht="26.25" customHeight="1" x14ac:dyDescent="0.2">
      <c r="A340" s="43" t="s">
        <v>1012</v>
      </c>
      <c r="B340" s="46" t="s">
        <v>22</v>
      </c>
      <c r="C340" s="44" t="s">
        <v>1026</v>
      </c>
      <c r="D340" s="47">
        <v>14489</v>
      </c>
      <c r="E340" s="46" t="s">
        <v>1038</v>
      </c>
      <c r="F340" s="35">
        <v>10000</v>
      </c>
      <c r="G340" s="35">
        <v>10000</v>
      </c>
      <c r="H340" s="35">
        <v>0</v>
      </c>
      <c r="I340" s="35">
        <f>G340+H340</f>
        <v>10000</v>
      </c>
      <c r="J340" s="36">
        <f>IF(G340=0,100%,(I340-G340)/G340)</f>
        <v>0</v>
      </c>
      <c r="K340" s="48" t="s">
        <v>14</v>
      </c>
      <c r="L340" s="48" t="s">
        <v>14</v>
      </c>
      <c r="M340" s="38">
        <v>42819</v>
      </c>
      <c r="N340" s="48"/>
      <c r="O340" s="35">
        <v>10000</v>
      </c>
      <c r="P340" s="35"/>
      <c r="Q340" s="35"/>
      <c r="R340" s="35"/>
      <c r="S340" s="58"/>
      <c r="T340" s="58"/>
    </row>
    <row r="341" spans="1:20" s="15" customFormat="1" ht="26.25" customHeight="1" x14ac:dyDescent="0.2">
      <c r="A341" s="43" t="s">
        <v>1013</v>
      </c>
      <c r="B341" s="46" t="s">
        <v>25</v>
      </c>
      <c r="C341" s="44" t="s">
        <v>1027</v>
      </c>
      <c r="D341" s="47">
        <v>14495</v>
      </c>
      <c r="E341" s="46" t="s">
        <v>1040</v>
      </c>
      <c r="F341" s="35">
        <f>7000*3</f>
        <v>21000</v>
      </c>
      <c r="G341" s="35">
        <f>7000*3</f>
        <v>21000</v>
      </c>
      <c r="H341" s="35">
        <v>0</v>
      </c>
      <c r="I341" s="35">
        <f t="shared" ref="I341:I399" si="17">G341+H341</f>
        <v>21000</v>
      </c>
      <c r="J341" s="36">
        <f t="shared" ref="J341:J399" si="18">IF(G341=0,100%,(I341-G341)/G341)</f>
        <v>0</v>
      </c>
      <c r="K341" s="48" t="s">
        <v>14</v>
      </c>
      <c r="L341" s="48" t="s">
        <v>14</v>
      </c>
      <c r="M341" s="38">
        <v>42916</v>
      </c>
      <c r="N341" s="48" t="s">
        <v>18</v>
      </c>
      <c r="O341" s="35">
        <v>7000</v>
      </c>
      <c r="P341" s="35">
        <v>7000</v>
      </c>
      <c r="Q341" s="35">
        <v>7000</v>
      </c>
      <c r="R341" s="35"/>
      <c r="S341" s="58"/>
      <c r="T341" s="58"/>
    </row>
    <row r="342" spans="1:20" s="15" customFormat="1" ht="26.25" customHeight="1" x14ac:dyDescent="0.2">
      <c r="A342" s="43" t="s">
        <v>1014</v>
      </c>
      <c r="B342" s="46" t="s">
        <v>21</v>
      </c>
      <c r="C342" s="44" t="s">
        <v>1028</v>
      </c>
      <c r="D342" s="47">
        <v>14593</v>
      </c>
      <c r="E342" s="46" t="s">
        <v>1039</v>
      </c>
      <c r="F342" s="35">
        <f>8055+10000+10000</f>
        <v>28055</v>
      </c>
      <c r="G342" s="35">
        <f>8055+10000+10000</f>
        <v>28055</v>
      </c>
      <c r="H342" s="35">
        <v>0</v>
      </c>
      <c r="I342" s="35">
        <f t="shared" si="17"/>
        <v>28055</v>
      </c>
      <c r="J342" s="36">
        <f t="shared" si="18"/>
        <v>0</v>
      </c>
      <c r="K342" s="48" t="s">
        <v>14</v>
      </c>
      <c r="L342" s="48" t="s">
        <v>14</v>
      </c>
      <c r="M342" s="38">
        <v>42765</v>
      </c>
      <c r="N342" s="48" t="s">
        <v>18</v>
      </c>
      <c r="O342" s="35">
        <v>8055</v>
      </c>
      <c r="P342" s="35">
        <v>10000</v>
      </c>
      <c r="Q342" s="35">
        <v>10000</v>
      </c>
      <c r="R342" s="35"/>
      <c r="S342" s="58"/>
      <c r="T342" s="58"/>
    </row>
    <row r="343" spans="1:20" s="15" customFormat="1" ht="26.25" customHeight="1" x14ac:dyDescent="0.2">
      <c r="A343" s="43" t="s">
        <v>1015</v>
      </c>
      <c r="B343" s="46" t="s">
        <v>21</v>
      </c>
      <c r="C343" s="44" t="s">
        <v>1029</v>
      </c>
      <c r="D343" s="47">
        <v>14244</v>
      </c>
      <c r="E343" s="46" t="s">
        <v>1041</v>
      </c>
      <c r="F343" s="35">
        <f>21324+4220+4642</f>
        <v>30186</v>
      </c>
      <c r="G343" s="35">
        <f>21324+4220+4642</f>
        <v>30186</v>
      </c>
      <c r="H343" s="35">
        <v>0</v>
      </c>
      <c r="I343" s="35">
        <f t="shared" si="17"/>
        <v>30186</v>
      </c>
      <c r="J343" s="36">
        <f t="shared" si="18"/>
        <v>0</v>
      </c>
      <c r="K343" s="48" t="s">
        <v>14</v>
      </c>
      <c r="L343" s="48" t="s">
        <v>14</v>
      </c>
      <c r="M343" s="38">
        <v>43131</v>
      </c>
      <c r="N343" s="48" t="s">
        <v>18</v>
      </c>
      <c r="O343" s="35">
        <v>21324</v>
      </c>
      <c r="P343" s="35">
        <v>4220</v>
      </c>
      <c r="Q343" s="35">
        <v>4642</v>
      </c>
      <c r="R343" s="35"/>
      <c r="S343" s="58"/>
      <c r="T343" s="58"/>
    </row>
    <row r="344" spans="1:20" s="15" customFormat="1" ht="26.25" customHeight="1" x14ac:dyDescent="0.2">
      <c r="A344" s="43" t="s">
        <v>1016</v>
      </c>
      <c r="B344" s="46" t="s">
        <v>21</v>
      </c>
      <c r="C344" s="44" t="s">
        <v>32</v>
      </c>
      <c r="D344" s="47">
        <v>14499</v>
      </c>
      <c r="E344" s="46" t="s">
        <v>1042</v>
      </c>
      <c r="F344" s="35">
        <f>8152*3</f>
        <v>24456</v>
      </c>
      <c r="G344" s="35">
        <f>8152*3</f>
        <v>24456</v>
      </c>
      <c r="H344" s="35">
        <v>0</v>
      </c>
      <c r="I344" s="35">
        <f t="shared" si="17"/>
        <v>24456</v>
      </c>
      <c r="J344" s="36">
        <f t="shared" si="18"/>
        <v>0</v>
      </c>
      <c r="K344" s="48" t="s">
        <v>14</v>
      </c>
      <c r="L344" s="48" t="s">
        <v>14</v>
      </c>
      <c r="M344" s="38">
        <v>43244</v>
      </c>
      <c r="N344" s="48" t="s">
        <v>18</v>
      </c>
      <c r="O344" s="35">
        <v>8152</v>
      </c>
      <c r="P344" s="35">
        <v>8152</v>
      </c>
      <c r="Q344" s="35">
        <v>8152</v>
      </c>
      <c r="R344" s="35"/>
      <c r="S344" s="58"/>
      <c r="T344" s="58"/>
    </row>
    <row r="345" spans="1:20" s="15" customFormat="1" ht="26.25" customHeight="1" x14ac:dyDescent="0.2">
      <c r="A345" s="43" t="s">
        <v>1017</v>
      </c>
      <c r="B345" s="46" t="s">
        <v>69</v>
      </c>
      <c r="C345" s="44" t="s">
        <v>1030</v>
      </c>
      <c r="D345" s="47">
        <v>14545</v>
      </c>
      <c r="E345" s="46" t="s">
        <v>1043</v>
      </c>
      <c r="F345" s="35">
        <v>24125</v>
      </c>
      <c r="G345" s="35">
        <v>24125</v>
      </c>
      <c r="H345" s="35">
        <v>0</v>
      </c>
      <c r="I345" s="35">
        <f t="shared" si="17"/>
        <v>24125</v>
      </c>
      <c r="J345" s="36">
        <f t="shared" si="18"/>
        <v>0</v>
      </c>
      <c r="K345" s="48" t="s">
        <v>14</v>
      </c>
      <c r="L345" s="48" t="s">
        <v>15</v>
      </c>
      <c r="M345" s="38">
        <v>43190</v>
      </c>
      <c r="N345" s="48"/>
      <c r="O345" s="35">
        <v>24125</v>
      </c>
      <c r="P345" s="35"/>
      <c r="Q345" s="35"/>
      <c r="R345" s="35"/>
      <c r="S345" s="58"/>
      <c r="T345" s="58"/>
    </row>
    <row r="346" spans="1:20" s="15" customFormat="1" ht="26.25" customHeight="1" x14ac:dyDescent="0.2">
      <c r="A346" s="43" t="s">
        <v>1018</v>
      </c>
      <c r="B346" s="46" t="s">
        <v>69</v>
      </c>
      <c r="C346" s="44" t="s">
        <v>1031</v>
      </c>
      <c r="D346" s="47">
        <v>14548</v>
      </c>
      <c r="E346" s="46" t="s">
        <v>1044</v>
      </c>
      <c r="F346" s="35">
        <f>24000*3</f>
        <v>72000</v>
      </c>
      <c r="G346" s="35">
        <f>24000*3</f>
        <v>72000</v>
      </c>
      <c r="H346" s="35">
        <v>0</v>
      </c>
      <c r="I346" s="35">
        <f t="shared" si="17"/>
        <v>72000</v>
      </c>
      <c r="J346" s="36">
        <f t="shared" si="18"/>
        <v>0</v>
      </c>
      <c r="K346" s="48" t="s">
        <v>14</v>
      </c>
      <c r="L346" s="48" t="s">
        <v>14</v>
      </c>
      <c r="M346" s="38">
        <v>43217</v>
      </c>
      <c r="N346" s="48" t="s">
        <v>18</v>
      </c>
      <c r="O346" s="35">
        <v>24000</v>
      </c>
      <c r="P346" s="35">
        <v>24000</v>
      </c>
      <c r="Q346" s="35">
        <v>24000</v>
      </c>
      <c r="R346" s="35"/>
      <c r="S346" s="58"/>
      <c r="T346" s="58"/>
    </row>
    <row r="347" spans="1:20" s="15" customFormat="1" ht="26.25" customHeight="1" x14ac:dyDescent="0.2">
      <c r="A347" s="43" t="s">
        <v>1019</v>
      </c>
      <c r="B347" s="46" t="s">
        <v>69</v>
      </c>
      <c r="C347" s="44" t="s">
        <v>1032</v>
      </c>
      <c r="D347" s="47">
        <v>14550</v>
      </c>
      <c r="E347" s="46" t="s">
        <v>1045</v>
      </c>
      <c r="F347" s="35">
        <f>29173+31000+33000</f>
        <v>93173</v>
      </c>
      <c r="G347" s="35">
        <f>29173+31000+33000</f>
        <v>93173</v>
      </c>
      <c r="H347" s="35">
        <v>0</v>
      </c>
      <c r="I347" s="35">
        <f t="shared" si="17"/>
        <v>93173</v>
      </c>
      <c r="J347" s="36">
        <f t="shared" si="18"/>
        <v>0</v>
      </c>
      <c r="K347" s="48" t="s">
        <v>14</v>
      </c>
      <c r="L347" s="48" t="s">
        <v>14</v>
      </c>
      <c r="M347" s="38">
        <v>43190</v>
      </c>
      <c r="N347" s="48" t="s">
        <v>18</v>
      </c>
      <c r="O347" s="35">
        <v>29173</v>
      </c>
      <c r="P347" s="35">
        <v>31000</v>
      </c>
      <c r="Q347" s="35">
        <v>33000</v>
      </c>
      <c r="R347" s="35"/>
      <c r="S347" s="58"/>
      <c r="T347" s="58"/>
    </row>
    <row r="348" spans="1:20" s="15" customFormat="1" ht="26.25" customHeight="1" x14ac:dyDescent="0.2">
      <c r="A348" s="43" t="s">
        <v>1020</v>
      </c>
      <c r="B348" s="46" t="s">
        <v>69</v>
      </c>
      <c r="C348" s="44" t="s">
        <v>1033</v>
      </c>
      <c r="D348" s="47">
        <v>14551</v>
      </c>
      <c r="E348" s="46" t="s">
        <v>1046</v>
      </c>
      <c r="F348" s="35">
        <f>20397+21100+21700</f>
        <v>63197</v>
      </c>
      <c r="G348" s="35">
        <f>20397+21100+21700</f>
        <v>63197</v>
      </c>
      <c r="H348" s="35">
        <v>0</v>
      </c>
      <c r="I348" s="35">
        <f t="shared" si="17"/>
        <v>63197</v>
      </c>
      <c r="J348" s="36">
        <f t="shared" si="18"/>
        <v>0</v>
      </c>
      <c r="K348" s="48" t="s">
        <v>14</v>
      </c>
      <c r="L348" s="48" t="s">
        <v>14</v>
      </c>
      <c r="M348" s="38">
        <v>43226</v>
      </c>
      <c r="N348" s="48" t="s">
        <v>18</v>
      </c>
      <c r="O348" s="35">
        <v>20397</v>
      </c>
      <c r="P348" s="35">
        <v>21100</v>
      </c>
      <c r="Q348" s="35">
        <v>21700</v>
      </c>
      <c r="R348" s="35"/>
      <c r="S348" s="58"/>
      <c r="T348" s="58"/>
    </row>
    <row r="349" spans="1:20" s="15" customFormat="1" ht="26.25" customHeight="1" x14ac:dyDescent="0.2">
      <c r="A349" s="43" t="s">
        <v>1021</v>
      </c>
      <c r="B349" s="46" t="s">
        <v>21</v>
      </c>
      <c r="C349" s="44" t="s">
        <v>1034</v>
      </c>
      <c r="D349" s="47">
        <v>14553</v>
      </c>
      <c r="E349" s="46" t="s">
        <v>1047</v>
      </c>
      <c r="F349" s="35">
        <v>22000</v>
      </c>
      <c r="G349" s="35">
        <v>22000</v>
      </c>
      <c r="H349" s="35">
        <v>0</v>
      </c>
      <c r="I349" s="35">
        <f t="shared" si="17"/>
        <v>22000</v>
      </c>
      <c r="J349" s="36">
        <f t="shared" si="18"/>
        <v>0</v>
      </c>
      <c r="K349" s="48" t="s">
        <v>14</v>
      </c>
      <c r="L349" s="48" t="s">
        <v>15</v>
      </c>
      <c r="M349" s="38">
        <v>42916</v>
      </c>
      <c r="N349" s="48"/>
      <c r="O349" s="35">
        <v>22000</v>
      </c>
      <c r="P349" s="35"/>
      <c r="Q349" s="35"/>
      <c r="R349" s="35"/>
      <c r="S349" s="58"/>
      <c r="T349" s="58"/>
    </row>
    <row r="350" spans="1:20" s="15" customFormat="1" ht="26.25" customHeight="1" x14ac:dyDescent="0.2">
      <c r="A350" s="43" t="s">
        <v>1022</v>
      </c>
      <c r="B350" s="46" t="s">
        <v>69</v>
      </c>
      <c r="C350" s="44" t="s">
        <v>452</v>
      </c>
      <c r="D350" s="47">
        <v>14572</v>
      </c>
      <c r="E350" s="46" t="s">
        <v>1048</v>
      </c>
      <c r="F350" s="35">
        <v>43000</v>
      </c>
      <c r="G350" s="35">
        <v>43000</v>
      </c>
      <c r="H350" s="35">
        <v>0</v>
      </c>
      <c r="I350" s="35">
        <f t="shared" si="17"/>
        <v>43000</v>
      </c>
      <c r="J350" s="36">
        <f t="shared" si="18"/>
        <v>0</v>
      </c>
      <c r="K350" s="48" t="s">
        <v>14</v>
      </c>
      <c r="L350" s="48" t="s">
        <v>14</v>
      </c>
      <c r="M350" s="52">
        <v>43220</v>
      </c>
      <c r="N350" s="48"/>
      <c r="O350" s="35">
        <v>43000</v>
      </c>
      <c r="P350" s="35"/>
      <c r="Q350" s="35"/>
      <c r="R350" s="35"/>
      <c r="S350" s="58"/>
      <c r="T350" s="58"/>
    </row>
    <row r="351" spans="1:20" s="15" customFormat="1" ht="26.25" customHeight="1" x14ac:dyDescent="0.2">
      <c r="A351" s="43" t="s">
        <v>1023</v>
      </c>
      <c r="B351" s="46" t="s">
        <v>21</v>
      </c>
      <c r="C351" s="44" t="s">
        <v>1035</v>
      </c>
      <c r="D351" s="47">
        <v>14590</v>
      </c>
      <c r="E351" s="46" t="s">
        <v>1049</v>
      </c>
      <c r="F351" s="35">
        <f>43500+43500</f>
        <v>87000</v>
      </c>
      <c r="G351" s="35">
        <f>43500+43500</f>
        <v>87000</v>
      </c>
      <c r="H351" s="35">
        <v>0</v>
      </c>
      <c r="I351" s="35">
        <f t="shared" si="17"/>
        <v>87000</v>
      </c>
      <c r="J351" s="36">
        <f t="shared" si="18"/>
        <v>0</v>
      </c>
      <c r="K351" s="48" t="s">
        <v>14</v>
      </c>
      <c r="L351" s="48" t="s">
        <v>15</v>
      </c>
      <c r="M351" s="38">
        <v>43100</v>
      </c>
      <c r="N351" s="48" t="s">
        <v>18</v>
      </c>
      <c r="O351" s="35">
        <v>43500</v>
      </c>
      <c r="P351" s="35">
        <v>43500</v>
      </c>
      <c r="Q351" s="35"/>
      <c r="R351" s="35"/>
      <c r="S351" s="58"/>
      <c r="T351" s="58"/>
    </row>
    <row r="352" spans="1:20" s="15" customFormat="1" ht="26.25" customHeight="1" x14ac:dyDescent="0.2">
      <c r="A352" s="43" t="s">
        <v>1024</v>
      </c>
      <c r="B352" s="46" t="s">
        <v>69</v>
      </c>
      <c r="C352" s="44" t="s">
        <v>1036</v>
      </c>
      <c r="D352" s="47">
        <v>14601</v>
      </c>
      <c r="E352" s="46" t="s">
        <v>1051</v>
      </c>
      <c r="F352" s="35">
        <f>8835*3</f>
        <v>26505</v>
      </c>
      <c r="G352" s="35">
        <f>8835*3</f>
        <v>26505</v>
      </c>
      <c r="H352" s="35">
        <v>0</v>
      </c>
      <c r="I352" s="35">
        <f t="shared" si="17"/>
        <v>26505</v>
      </c>
      <c r="J352" s="36">
        <f t="shared" si="18"/>
        <v>0</v>
      </c>
      <c r="K352" s="48" t="s">
        <v>14</v>
      </c>
      <c r="L352" s="48" t="s">
        <v>14</v>
      </c>
      <c r="M352" s="38">
        <v>43206</v>
      </c>
      <c r="N352" s="48" t="s">
        <v>18</v>
      </c>
      <c r="O352" s="35">
        <v>8835</v>
      </c>
      <c r="P352" s="35">
        <v>8835</v>
      </c>
      <c r="Q352" s="35">
        <v>8835</v>
      </c>
      <c r="R352" s="35"/>
      <c r="S352" s="58"/>
      <c r="T352" s="58"/>
    </row>
    <row r="353" spans="1:20" s="15" customFormat="1" ht="26.25" customHeight="1" x14ac:dyDescent="0.2">
      <c r="A353" s="43" t="s">
        <v>1025</v>
      </c>
      <c r="B353" s="46" t="s">
        <v>21</v>
      </c>
      <c r="C353" s="44" t="s">
        <v>1037</v>
      </c>
      <c r="D353" s="47">
        <v>14603</v>
      </c>
      <c r="E353" s="46" t="s">
        <v>1050</v>
      </c>
      <c r="F353" s="35">
        <v>37050</v>
      </c>
      <c r="G353" s="35">
        <v>37050</v>
      </c>
      <c r="H353" s="35">
        <v>0</v>
      </c>
      <c r="I353" s="35">
        <f t="shared" si="17"/>
        <v>37050</v>
      </c>
      <c r="J353" s="36">
        <f t="shared" si="18"/>
        <v>0</v>
      </c>
      <c r="K353" s="48" t="s">
        <v>15</v>
      </c>
      <c r="L353" s="48" t="s">
        <v>15</v>
      </c>
      <c r="M353" s="38">
        <v>43235</v>
      </c>
      <c r="N353" s="48"/>
      <c r="O353" s="35">
        <v>37050</v>
      </c>
      <c r="P353" s="35"/>
      <c r="Q353" s="35"/>
      <c r="R353" s="35"/>
      <c r="S353" s="58"/>
      <c r="T353" s="58"/>
    </row>
    <row r="354" spans="1:20" s="15" customFormat="1" ht="26.25" customHeight="1" x14ac:dyDescent="0.2">
      <c r="A354" s="43" t="s">
        <v>1052</v>
      </c>
      <c r="B354" s="46" t="s">
        <v>17</v>
      </c>
      <c r="C354" s="44" t="s">
        <v>427</v>
      </c>
      <c r="D354" s="54" t="s">
        <v>1061</v>
      </c>
      <c r="E354" s="46" t="s">
        <v>1062</v>
      </c>
      <c r="F354" s="35">
        <v>13200</v>
      </c>
      <c r="G354" s="35">
        <v>45000</v>
      </c>
      <c r="H354" s="35">
        <v>13200</v>
      </c>
      <c r="I354" s="35">
        <f t="shared" si="17"/>
        <v>58200</v>
      </c>
      <c r="J354" s="36">
        <f t="shared" si="18"/>
        <v>0.29333333333333333</v>
      </c>
      <c r="K354" s="48" t="s">
        <v>14</v>
      </c>
      <c r="L354" s="48" t="s">
        <v>14</v>
      </c>
      <c r="M354" s="38">
        <v>42916</v>
      </c>
      <c r="N354" s="48" t="s">
        <v>28</v>
      </c>
      <c r="O354" s="35">
        <v>13200</v>
      </c>
      <c r="P354" s="35"/>
      <c r="Q354" s="35"/>
      <c r="R354" s="35"/>
      <c r="S354" s="58"/>
      <c r="T354" s="58"/>
    </row>
    <row r="355" spans="1:20" s="15" customFormat="1" ht="26.25" customHeight="1" x14ac:dyDescent="0.2">
      <c r="A355" s="43" t="s">
        <v>1053</v>
      </c>
      <c r="B355" s="46" t="s">
        <v>21</v>
      </c>
      <c r="C355" s="44" t="s">
        <v>1057</v>
      </c>
      <c r="D355" s="47">
        <v>14556</v>
      </c>
      <c r="E355" s="46" t="s">
        <v>1063</v>
      </c>
      <c r="F355" s="35">
        <f>99489+99489</f>
        <v>198978</v>
      </c>
      <c r="G355" s="35">
        <f>99489+99489</f>
        <v>198978</v>
      </c>
      <c r="H355" s="35">
        <v>0</v>
      </c>
      <c r="I355" s="35">
        <f t="shared" si="17"/>
        <v>198978</v>
      </c>
      <c r="J355" s="36">
        <f t="shared" si="18"/>
        <v>0</v>
      </c>
      <c r="K355" s="48" t="s">
        <v>15</v>
      </c>
      <c r="L355" s="48" t="s">
        <v>14</v>
      </c>
      <c r="M355" s="38">
        <v>43101</v>
      </c>
      <c r="N355" s="48" t="s">
        <v>18</v>
      </c>
      <c r="O355" s="35">
        <v>99489</v>
      </c>
      <c r="P355" s="35">
        <v>99489</v>
      </c>
      <c r="Q355" s="35"/>
      <c r="R355" s="35"/>
      <c r="S355" s="58"/>
      <c r="T355" s="58"/>
    </row>
    <row r="356" spans="1:20" s="15" customFormat="1" ht="26.25" customHeight="1" x14ac:dyDescent="0.2">
      <c r="A356" s="43" t="s">
        <v>1054</v>
      </c>
      <c r="B356" s="46" t="s">
        <v>69</v>
      </c>
      <c r="C356" s="44" t="s">
        <v>1058</v>
      </c>
      <c r="D356" s="47">
        <v>14558</v>
      </c>
      <c r="E356" s="46" t="s">
        <v>1064</v>
      </c>
      <c r="F356" s="35">
        <f>99000*3</f>
        <v>297000</v>
      </c>
      <c r="G356" s="35">
        <f>99000*3</f>
        <v>297000</v>
      </c>
      <c r="H356" s="35">
        <v>0</v>
      </c>
      <c r="I356" s="35">
        <f t="shared" si="17"/>
        <v>297000</v>
      </c>
      <c r="J356" s="36">
        <f t="shared" si="18"/>
        <v>0</v>
      </c>
      <c r="K356" s="48" t="s">
        <v>14</v>
      </c>
      <c r="L356" s="48" t="s">
        <v>15</v>
      </c>
      <c r="M356" s="38">
        <v>43220</v>
      </c>
      <c r="N356" s="48" t="s">
        <v>18</v>
      </c>
      <c r="O356" s="35">
        <v>99000</v>
      </c>
      <c r="P356" s="35">
        <v>99000</v>
      </c>
      <c r="Q356" s="35">
        <v>99000</v>
      </c>
      <c r="R356" s="35"/>
      <c r="S356" s="58"/>
      <c r="T356" s="58"/>
    </row>
    <row r="357" spans="1:20" s="15" customFormat="1" ht="26.25" customHeight="1" x14ac:dyDescent="0.2">
      <c r="A357" s="43" t="s">
        <v>1055</v>
      </c>
      <c r="B357" s="46" t="s">
        <v>843</v>
      </c>
      <c r="C357" s="44" t="s">
        <v>1059</v>
      </c>
      <c r="D357" s="47">
        <v>14734</v>
      </c>
      <c r="E357" s="46" t="s">
        <v>1065</v>
      </c>
      <c r="F357" s="35">
        <v>77500</v>
      </c>
      <c r="G357" s="35">
        <v>77500</v>
      </c>
      <c r="H357" s="35">
        <v>0</v>
      </c>
      <c r="I357" s="35">
        <f t="shared" si="17"/>
        <v>77500</v>
      </c>
      <c r="J357" s="36">
        <f t="shared" si="18"/>
        <v>0</v>
      </c>
      <c r="K357" s="48" t="s">
        <v>14</v>
      </c>
      <c r="L357" s="48" t="s">
        <v>14</v>
      </c>
      <c r="M357" s="38">
        <v>43131</v>
      </c>
      <c r="N357" s="48"/>
      <c r="O357" s="35">
        <v>77500</v>
      </c>
      <c r="P357" s="35"/>
      <c r="Q357" s="35"/>
      <c r="R357" s="35"/>
      <c r="S357" s="58"/>
      <c r="T357" s="58"/>
    </row>
    <row r="358" spans="1:20" s="15" customFormat="1" ht="26.25" customHeight="1" x14ac:dyDescent="0.2">
      <c r="A358" s="43" t="s">
        <v>1056</v>
      </c>
      <c r="B358" s="46" t="s">
        <v>166</v>
      </c>
      <c r="C358" s="44" t="s">
        <v>1060</v>
      </c>
      <c r="D358" s="47">
        <v>14617</v>
      </c>
      <c r="E358" s="46" t="s">
        <v>1066</v>
      </c>
      <c r="F358" s="35">
        <v>84802</v>
      </c>
      <c r="G358" s="35">
        <v>84802</v>
      </c>
      <c r="H358" s="35">
        <v>0</v>
      </c>
      <c r="I358" s="35">
        <f t="shared" si="17"/>
        <v>84802</v>
      </c>
      <c r="J358" s="36">
        <f t="shared" si="18"/>
        <v>0</v>
      </c>
      <c r="K358" s="48" t="s">
        <v>15</v>
      </c>
      <c r="L358" s="48" t="s">
        <v>15</v>
      </c>
      <c r="M358" s="38">
        <v>42947</v>
      </c>
      <c r="N358" s="48"/>
      <c r="O358" s="35">
        <v>84802</v>
      </c>
      <c r="P358" s="35"/>
      <c r="Q358" s="35"/>
      <c r="R358" s="35"/>
      <c r="S358" s="58"/>
      <c r="T358" s="58"/>
    </row>
    <row r="359" spans="1:20" s="15" customFormat="1" ht="26.25" customHeight="1" x14ac:dyDescent="0.2">
      <c r="A359" s="43" t="s">
        <v>1067</v>
      </c>
      <c r="B359" s="46" t="s">
        <v>17</v>
      </c>
      <c r="C359" s="44" t="s">
        <v>1072</v>
      </c>
      <c r="D359" s="47">
        <v>14530</v>
      </c>
      <c r="E359" s="46" t="s">
        <v>1078</v>
      </c>
      <c r="F359" s="35">
        <f>99000*2</f>
        <v>198000</v>
      </c>
      <c r="G359" s="35">
        <f>99000*2</f>
        <v>198000</v>
      </c>
      <c r="H359" s="35">
        <v>0</v>
      </c>
      <c r="I359" s="35">
        <f t="shared" si="17"/>
        <v>198000</v>
      </c>
      <c r="J359" s="36">
        <f t="shared" si="18"/>
        <v>0</v>
      </c>
      <c r="K359" s="48" t="s">
        <v>14</v>
      </c>
      <c r="L359" s="48" t="s">
        <v>14</v>
      </c>
      <c r="M359" s="38">
        <v>43281</v>
      </c>
      <c r="N359" s="48" t="s">
        <v>18</v>
      </c>
      <c r="O359" s="35">
        <v>99000</v>
      </c>
      <c r="P359" s="35">
        <v>99000</v>
      </c>
      <c r="Q359" s="35"/>
      <c r="R359" s="35"/>
      <c r="S359" s="58"/>
      <c r="T359" s="58"/>
    </row>
    <row r="360" spans="1:20" s="15" customFormat="1" ht="26.25" customHeight="1" x14ac:dyDescent="0.2">
      <c r="A360" s="43" t="s">
        <v>1068</v>
      </c>
      <c r="B360" s="46" t="s">
        <v>92</v>
      </c>
      <c r="C360" s="44" t="s">
        <v>479</v>
      </c>
      <c r="D360" s="54" t="s">
        <v>1076</v>
      </c>
      <c r="E360" s="46" t="s">
        <v>1079</v>
      </c>
      <c r="F360" s="35">
        <v>37739</v>
      </c>
      <c r="G360" s="35">
        <v>37832</v>
      </c>
      <c r="H360" s="35">
        <v>37739</v>
      </c>
      <c r="I360" s="35">
        <f t="shared" si="17"/>
        <v>75571</v>
      </c>
      <c r="J360" s="36">
        <f t="shared" si="18"/>
        <v>0.99754176358638191</v>
      </c>
      <c r="K360" s="48" t="s">
        <v>14</v>
      </c>
      <c r="L360" s="48" t="s">
        <v>14</v>
      </c>
      <c r="M360" s="38">
        <v>42916</v>
      </c>
      <c r="N360" s="48" t="s">
        <v>28</v>
      </c>
      <c r="O360" s="35">
        <v>37739</v>
      </c>
      <c r="P360" s="35"/>
      <c r="Q360" s="35"/>
      <c r="R360" s="35"/>
      <c r="S360" s="58"/>
      <c r="T360" s="58"/>
    </row>
    <row r="361" spans="1:20" s="15" customFormat="1" ht="26.25" customHeight="1" x14ac:dyDescent="0.2">
      <c r="A361" s="43" t="s">
        <v>1069</v>
      </c>
      <c r="B361" s="46" t="s">
        <v>21</v>
      </c>
      <c r="C361" s="44" t="s">
        <v>1073</v>
      </c>
      <c r="D361" s="47">
        <v>14585</v>
      </c>
      <c r="E361" s="46" t="s">
        <v>1080</v>
      </c>
      <c r="F361" s="35">
        <f>98000*3</f>
        <v>294000</v>
      </c>
      <c r="G361" s="35">
        <f>98000*3</f>
        <v>294000</v>
      </c>
      <c r="H361" s="35">
        <v>0</v>
      </c>
      <c r="I361" s="35">
        <f t="shared" si="17"/>
        <v>294000</v>
      </c>
      <c r="J361" s="36">
        <f t="shared" si="18"/>
        <v>0</v>
      </c>
      <c r="K361" s="48" t="s">
        <v>14</v>
      </c>
      <c r="L361" s="48" t="s">
        <v>14</v>
      </c>
      <c r="M361" s="38">
        <v>43281</v>
      </c>
      <c r="N361" s="48" t="s">
        <v>18</v>
      </c>
      <c r="O361" s="35">
        <v>98000</v>
      </c>
      <c r="P361" s="35">
        <v>98000</v>
      </c>
      <c r="Q361" s="35">
        <v>98000</v>
      </c>
      <c r="R361" s="35"/>
      <c r="S361" s="58"/>
      <c r="T361" s="58"/>
    </row>
    <row r="362" spans="1:20" s="15" customFormat="1" ht="26.25" customHeight="1" x14ac:dyDescent="0.2">
      <c r="A362" s="43" t="s">
        <v>1070</v>
      </c>
      <c r="B362" s="46" t="s">
        <v>20</v>
      </c>
      <c r="C362" s="44" t="s">
        <v>1074</v>
      </c>
      <c r="D362" s="54" t="s">
        <v>1077</v>
      </c>
      <c r="E362" s="46" t="s">
        <v>1081</v>
      </c>
      <c r="F362" s="35">
        <f>25000+25000</f>
        <v>50000</v>
      </c>
      <c r="G362" s="35">
        <v>25000</v>
      </c>
      <c r="H362" s="35">
        <f>25000+25000</f>
        <v>50000</v>
      </c>
      <c r="I362" s="35">
        <f t="shared" si="17"/>
        <v>75000</v>
      </c>
      <c r="J362" s="36">
        <f t="shared" si="18"/>
        <v>2</v>
      </c>
      <c r="K362" s="48" t="s">
        <v>14</v>
      </c>
      <c r="L362" s="48" t="s">
        <v>14</v>
      </c>
      <c r="M362" s="38">
        <v>42916</v>
      </c>
      <c r="N362" s="48" t="s">
        <v>28</v>
      </c>
      <c r="O362" s="35">
        <v>25000</v>
      </c>
      <c r="P362" s="35">
        <v>25000</v>
      </c>
      <c r="Q362" s="35"/>
      <c r="R362" s="35"/>
      <c r="S362" s="58"/>
      <c r="T362" s="58"/>
    </row>
    <row r="363" spans="1:20" s="15" customFormat="1" ht="26.25" customHeight="1" x14ac:dyDescent="0.2">
      <c r="A363" s="43" t="s">
        <v>1071</v>
      </c>
      <c r="B363" s="46" t="s">
        <v>17</v>
      </c>
      <c r="C363" s="44" t="s">
        <v>1075</v>
      </c>
      <c r="D363" s="47">
        <v>14667</v>
      </c>
      <c r="E363" s="46" t="s">
        <v>1082</v>
      </c>
      <c r="F363" s="35">
        <v>95000</v>
      </c>
      <c r="G363" s="35">
        <v>95000</v>
      </c>
      <c r="H363" s="35">
        <v>0</v>
      </c>
      <c r="I363" s="35">
        <f t="shared" si="17"/>
        <v>95000</v>
      </c>
      <c r="J363" s="36">
        <f t="shared" si="18"/>
        <v>0</v>
      </c>
      <c r="K363" s="48" t="s">
        <v>14</v>
      </c>
      <c r="L363" s="48" t="s">
        <v>15</v>
      </c>
      <c r="M363" s="38">
        <v>43281</v>
      </c>
      <c r="N363" s="48"/>
      <c r="O363" s="35">
        <v>95000</v>
      </c>
      <c r="P363" s="35"/>
      <c r="Q363" s="35"/>
      <c r="R363" s="35"/>
      <c r="S363" s="58"/>
      <c r="T363" s="58"/>
    </row>
    <row r="364" spans="1:20" s="15" customFormat="1" ht="26.25" customHeight="1" x14ac:dyDescent="0.2">
      <c r="A364" s="43" t="s">
        <v>1083</v>
      </c>
      <c r="B364" s="46" t="s">
        <v>20</v>
      </c>
      <c r="C364" s="44" t="s">
        <v>255</v>
      </c>
      <c r="D364" s="54" t="s">
        <v>1097</v>
      </c>
      <c r="E364" s="46" t="s">
        <v>1098</v>
      </c>
      <c r="F364" s="35">
        <f>6000*3</f>
        <v>18000</v>
      </c>
      <c r="G364" s="35">
        <v>5500</v>
      </c>
      <c r="H364" s="35">
        <f>6000*3</f>
        <v>18000</v>
      </c>
      <c r="I364" s="35">
        <f t="shared" si="17"/>
        <v>23500</v>
      </c>
      <c r="J364" s="36">
        <f t="shared" si="18"/>
        <v>3.2727272727272729</v>
      </c>
      <c r="K364" s="48" t="s">
        <v>14</v>
      </c>
      <c r="L364" s="48" t="s">
        <v>14</v>
      </c>
      <c r="M364" s="38">
        <v>42916</v>
      </c>
      <c r="N364" s="48" t="s">
        <v>28</v>
      </c>
      <c r="O364" s="35">
        <v>6000</v>
      </c>
      <c r="P364" s="35">
        <v>6000</v>
      </c>
      <c r="Q364" s="35">
        <v>6000</v>
      </c>
      <c r="R364" s="35"/>
      <c r="S364" s="58"/>
      <c r="T364" s="58"/>
    </row>
    <row r="365" spans="1:20" s="15" customFormat="1" ht="26.25" customHeight="1" x14ac:dyDescent="0.2">
      <c r="A365" s="43" t="s">
        <v>1084</v>
      </c>
      <c r="B365" s="46" t="s">
        <v>20</v>
      </c>
      <c r="C365" s="44" t="s">
        <v>1091</v>
      </c>
      <c r="D365" s="47">
        <v>14516</v>
      </c>
      <c r="E365" s="46" t="s">
        <v>1099</v>
      </c>
      <c r="F365" s="35">
        <f>36000*3</f>
        <v>108000</v>
      </c>
      <c r="G365" s="35">
        <f>36000*3</f>
        <v>108000</v>
      </c>
      <c r="H365" s="35">
        <v>0</v>
      </c>
      <c r="I365" s="35">
        <f t="shared" si="17"/>
        <v>108000</v>
      </c>
      <c r="J365" s="36">
        <f t="shared" si="18"/>
        <v>0</v>
      </c>
      <c r="K365" s="48" t="s">
        <v>14</v>
      </c>
      <c r="L365" s="48" t="s">
        <v>15</v>
      </c>
      <c r="M365" s="38">
        <v>43221</v>
      </c>
      <c r="N365" s="48" t="s">
        <v>18</v>
      </c>
      <c r="O365" s="35">
        <v>36000</v>
      </c>
      <c r="P365" s="35">
        <v>36000</v>
      </c>
      <c r="Q365" s="35">
        <v>36000</v>
      </c>
      <c r="R365" s="35"/>
      <c r="S365" s="58"/>
      <c r="T365" s="58"/>
    </row>
    <row r="366" spans="1:20" s="15" customFormat="1" ht="26.25" customHeight="1" x14ac:dyDescent="0.2">
      <c r="A366" s="43" t="s">
        <v>1085</v>
      </c>
      <c r="B366" s="46" t="s">
        <v>20</v>
      </c>
      <c r="C366" s="44" t="s">
        <v>1092</v>
      </c>
      <c r="D366" s="47">
        <v>14517</v>
      </c>
      <c r="E366" s="46" t="s">
        <v>1099</v>
      </c>
      <c r="F366" s="35">
        <f>9000*3</f>
        <v>27000</v>
      </c>
      <c r="G366" s="35">
        <f>9000*3</f>
        <v>27000</v>
      </c>
      <c r="H366" s="35">
        <v>0</v>
      </c>
      <c r="I366" s="35">
        <f t="shared" si="17"/>
        <v>27000</v>
      </c>
      <c r="J366" s="36">
        <f t="shared" si="18"/>
        <v>0</v>
      </c>
      <c r="K366" s="48" t="s">
        <v>14</v>
      </c>
      <c r="L366" s="48" t="s">
        <v>15</v>
      </c>
      <c r="M366" s="38">
        <v>43221</v>
      </c>
      <c r="N366" s="48" t="s">
        <v>18</v>
      </c>
      <c r="O366" s="35">
        <v>9000</v>
      </c>
      <c r="P366" s="35">
        <v>9000</v>
      </c>
      <c r="Q366" s="35">
        <v>9000</v>
      </c>
      <c r="R366" s="35"/>
      <c r="S366" s="58"/>
      <c r="T366" s="58"/>
    </row>
    <row r="367" spans="1:20" s="15" customFormat="1" ht="26.25" customHeight="1" x14ac:dyDescent="0.2">
      <c r="A367" s="43" t="s">
        <v>1086</v>
      </c>
      <c r="B367" s="46" t="s">
        <v>92</v>
      </c>
      <c r="C367" s="44" t="s">
        <v>43</v>
      </c>
      <c r="D367" s="47">
        <v>14568</v>
      </c>
      <c r="E367" s="46" t="s">
        <v>1100</v>
      </c>
      <c r="F367" s="35">
        <v>38962</v>
      </c>
      <c r="G367" s="35">
        <v>38962</v>
      </c>
      <c r="H367" s="35">
        <v>0</v>
      </c>
      <c r="I367" s="35">
        <f t="shared" si="17"/>
        <v>38962</v>
      </c>
      <c r="J367" s="36">
        <f t="shared" si="18"/>
        <v>0</v>
      </c>
      <c r="K367" s="48" t="s">
        <v>14</v>
      </c>
      <c r="L367" s="48" t="s">
        <v>15</v>
      </c>
      <c r="M367" s="38">
        <v>43646</v>
      </c>
      <c r="N367" s="48"/>
      <c r="O367" s="35">
        <v>38962</v>
      </c>
      <c r="P367" s="35"/>
      <c r="Q367" s="35"/>
      <c r="R367" s="35"/>
      <c r="S367" s="58"/>
      <c r="T367" s="58"/>
    </row>
    <row r="368" spans="1:20" s="15" customFormat="1" ht="18" customHeight="1" x14ac:dyDescent="0.2">
      <c r="A368" s="43" t="s">
        <v>1087</v>
      </c>
      <c r="B368" s="46" t="s">
        <v>30</v>
      </c>
      <c r="C368" s="44" t="s">
        <v>1093</v>
      </c>
      <c r="D368" s="47">
        <v>14580</v>
      </c>
      <c r="E368" s="46" t="s">
        <v>1101</v>
      </c>
      <c r="F368" s="35">
        <v>24652</v>
      </c>
      <c r="G368" s="35">
        <v>24652</v>
      </c>
      <c r="H368" s="35">
        <v>0</v>
      </c>
      <c r="I368" s="35">
        <f t="shared" si="17"/>
        <v>24652</v>
      </c>
      <c r="J368" s="36">
        <f t="shared" si="18"/>
        <v>0</v>
      </c>
      <c r="K368" s="48" t="s">
        <v>14</v>
      </c>
      <c r="L368" s="48" t="s">
        <v>15</v>
      </c>
      <c r="M368" s="38">
        <v>43617</v>
      </c>
      <c r="N368" s="48"/>
      <c r="O368" s="35">
        <v>24652</v>
      </c>
      <c r="P368" s="35"/>
      <c r="Q368" s="35"/>
      <c r="R368" s="35"/>
      <c r="S368" s="58"/>
      <c r="T368" s="58"/>
    </row>
    <row r="369" spans="1:20" s="15" customFormat="1" ht="26.25" customHeight="1" x14ac:dyDescent="0.2">
      <c r="A369" s="43" t="s">
        <v>1088</v>
      </c>
      <c r="B369" s="46" t="s">
        <v>69</v>
      </c>
      <c r="C369" s="44" t="s">
        <v>1094</v>
      </c>
      <c r="D369" s="47">
        <v>14618</v>
      </c>
      <c r="E369" s="46" t="s">
        <v>1102</v>
      </c>
      <c r="F369" s="35">
        <f>6995*3</f>
        <v>20985</v>
      </c>
      <c r="G369" s="35">
        <f>6995*3</f>
        <v>20985</v>
      </c>
      <c r="H369" s="35">
        <v>0</v>
      </c>
      <c r="I369" s="35">
        <f t="shared" si="17"/>
        <v>20985</v>
      </c>
      <c r="J369" s="36">
        <f t="shared" si="18"/>
        <v>0</v>
      </c>
      <c r="K369" s="48" t="s">
        <v>14</v>
      </c>
      <c r="L369" s="48" t="s">
        <v>14</v>
      </c>
      <c r="M369" s="38">
        <v>43210</v>
      </c>
      <c r="N369" s="48" t="s">
        <v>18</v>
      </c>
      <c r="O369" s="35">
        <v>6995</v>
      </c>
      <c r="P369" s="35">
        <v>6995</v>
      </c>
      <c r="Q369" s="35">
        <v>6995</v>
      </c>
      <c r="R369" s="35"/>
      <c r="S369" s="58"/>
      <c r="T369" s="58"/>
    </row>
    <row r="370" spans="1:20" s="15" customFormat="1" ht="26.25" customHeight="1" x14ac:dyDescent="0.2">
      <c r="A370" s="43" t="s">
        <v>1089</v>
      </c>
      <c r="B370" s="46" t="s">
        <v>69</v>
      </c>
      <c r="C370" s="44" t="s">
        <v>1095</v>
      </c>
      <c r="D370" s="47">
        <v>14656</v>
      </c>
      <c r="E370" s="46" t="s">
        <v>1103</v>
      </c>
      <c r="F370" s="35">
        <f>10854+11000+11500</f>
        <v>33354</v>
      </c>
      <c r="G370" s="35">
        <f>10854+11000+11500</f>
        <v>33354</v>
      </c>
      <c r="H370" s="35">
        <v>0</v>
      </c>
      <c r="I370" s="35">
        <f t="shared" si="17"/>
        <v>33354</v>
      </c>
      <c r="J370" s="36">
        <f t="shared" si="18"/>
        <v>0</v>
      </c>
      <c r="K370" s="48" t="s">
        <v>14</v>
      </c>
      <c r="L370" s="48" t="s">
        <v>14</v>
      </c>
      <c r="M370" s="38">
        <v>43208</v>
      </c>
      <c r="N370" s="48" t="s">
        <v>18</v>
      </c>
      <c r="O370" s="35">
        <v>10854</v>
      </c>
      <c r="P370" s="35">
        <v>11000</v>
      </c>
      <c r="Q370" s="35">
        <v>11500</v>
      </c>
      <c r="R370" s="35"/>
      <c r="S370" s="58"/>
      <c r="T370" s="58"/>
    </row>
    <row r="371" spans="1:20" s="15" customFormat="1" ht="26.25" customHeight="1" x14ac:dyDescent="0.2">
      <c r="A371" s="43" t="s">
        <v>1090</v>
      </c>
      <c r="B371" s="46" t="s">
        <v>69</v>
      </c>
      <c r="C371" s="44" t="s">
        <v>1096</v>
      </c>
      <c r="D371" s="47">
        <v>14669</v>
      </c>
      <c r="E371" s="46" t="s">
        <v>1104</v>
      </c>
      <c r="F371" s="35">
        <f>34184+35000+35000</f>
        <v>104184</v>
      </c>
      <c r="G371" s="35">
        <f>34184+35000+35000</f>
        <v>104184</v>
      </c>
      <c r="H371" s="35">
        <v>0</v>
      </c>
      <c r="I371" s="35">
        <f t="shared" si="17"/>
        <v>104184</v>
      </c>
      <c r="J371" s="36">
        <f t="shared" si="18"/>
        <v>0</v>
      </c>
      <c r="K371" s="48" t="s">
        <v>14</v>
      </c>
      <c r="L371" s="48" t="s">
        <v>14</v>
      </c>
      <c r="M371" s="38">
        <v>43230</v>
      </c>
      <c r="N371" s="48" t="s">
        <v>18</v>
      </c>
      <c r="O371" s="35">
        <v>34184</v>
      </c>
      <c r="P371" s="35">
        <v>35000</v>
      </c>
      <c r="Q371" s="35">
        <v>35000</v>
      </c>
      <c r="R371" s="35"/>
      <c r="S371" s="58"/>
      <c r="T371" s="58"/>
    </row>
    <row r="372" spans="1:20" s="15" customFormat="1" ht="26.25" customHeight="1" x14ac:dyDescent="0.2">
      <c r="A372" s="43" t="s">
        <v>1105</v>
      </c>
      <c r="B372" s="46" t="s">
        <v>69</v>
      </c>
      <c r="C372" s="44" t="s">
        <v>924</v>
      </c>
      <c r="D372" s="47">
        <v>14570</v>
      </c>
      <c r="E372" s="46" t="s">
        <v>1109</v>
      </c>
      <c r="F372" s="35">
        <v>95825</v>
      </c>
      <c r="G372" s="35">
        <v>95825</v>
      </c>
      <c r="H372" s="35">
        <v>0</v>
      </c>
      <c r="I372" s="35">
        <f t="shared" si="17"/>
        <v>95825</v>
      </c>
      <c r="J372" s="36">
        <f t="shared" si="18"/>
        <v>0</v>
      </c>
      <c r="K372" s="48" t="s">
        <v>14</v>
      </c>
      <c r="L372" s="48" t="s">
        <v>14</v>
      </c>
      <c r="M372" s="38">
        <v>43220</v>
      </c>
      <c r="N372" s="48"/>
      <c r="O372" s="35">
        <v>95825</v>
      </c>
      <c r="P372" s="35"/>
      <c r="Q372" s="35"/>
      <c r="R372" s="35"/>
      <c r="S372" s="58"/>
      <c r="T372" s="58"/>
    </row>
    <row r="373" spans="1:20" s="15" customFormat="1" ht="26.25" customHeight="1" x14ac:dyDescent="0.2">
      <c r="A373" s="43" t="s">
        <v>1106</v>
      </c>
      <c r="B373" s="46" t="s">
        <v>23</v>
      </c>
      <c r="C373" s="44" t="s">
        <v>1107</v>
      </c>
      <c r="D373" s="47">
        <v>14729</v>
      </c>
      <c r="E373" s="46" t="s">
        <v>1108</v>
      </c>
      <c r="F373" s="35">
        <v>60396</v>
      </c>
      <c r="G373" s="35">
        <v>710192</v>
      </c>
      <c r="H373" s="35">
        <f>125579+60396</f>
        <v>185975</v>
      </c>
      <c r="I373" s="35">
        <f t="shared" si="17"/>
        <v>896167</v>
      </c>
      <c r="J373" s="36">
        <f t="shared" si="18"/>
        <v>0.26186580530335457</v>
      </c>
      <c r="K373" s="48" t="s">
        <v>14</v>
      </c>
      <c r="L373" s="48" t="s">
        <v>14</v>
      </c>
      <c r="M373" s="38">
        <v>43359</v>
      </c>
      <c r="N373" s="48" t="s">
        <v>28</v>
      </c>
      <c r="O373" s="35"/>
      <c r="P373" s="35">
        <v>60396</v>
      </c>
      <c r="Q373" s="35"/>
      <c r="R373" s="35"/>
      <c r="S373" s="58"/>
      <c r="T373" s="58"/>
    </row>
    <row r="374" spans="1:20" s="15" customFormat="1" ht="26.25" customHeight="1" x14ac:dyDescent="0.2">
      <c r="A374" s="43" t="s">
        <v>1110</v>
      </c>
      <c r="B374" s="46" t="s">
        <v>21</v>
      </c>
      <c r="C374" s="44" t="s">
        <v>557</v>
      </c>
      <c r="D374" s="47">
        <v>14725</v>
      </c>
      <c r="E374" s="46" t="s">
        <v>1113</v>
      </c>
      <c r="F374" s="35">
        <v>45000</v>
      </c>
      <c r="G374" s="35">
        <v>49000</v>
      </c>
      <c r="H374" s="35">
        <v>45000</v>
      </c>
      <c r="I374" s="35">
        <f t="shared" si="17"/>
        <v>94000</v>
      </c>
      <c r="J374" s="36">
        <f t="shared" si="18"/>
        <v>0.91836734693877553</v>
      </c>
      <c r="K374" s="48" t="s">
        <v>14</v>
      </c>
      <c r="L374" s="48" t="s">
        <v>14</v>
      </c>
      <c r="M374" s="38">
        <v>42916</v>
      </c>
      <c r="N374" s="48" t="s">
        <v>28</v>
      </c>
      <c r="O374" s="35">
        <v>45000</v>
      </c>
      <c r="P374" s="35"/>
      <c r="Q374" s="35"/>
      <c r="R374" s="35"/>
      <c r="S374" s="58"/>
      <c r="T374" s="58"/>
    </row>
    <row r="375" spans="1:20" s="15" customFormat="1" ht="26.25" customHeight="1" x14ac:dyDescent="0.2">
      <c r="A375" s="43" t="s">
        <v>1111</v>
      </c>
      <c r="B375" s="46" t="s">
        <v>22</v>
      </c>
      <c r="C375" s="44" t="s">
        <v>1112</v>
      </c>
      <c r="D375" s="47">
        <v>14694</v>
      </c>
      <c r="E375" s="46" t="s">
        <v>1114</v>
      </c>
      <c r="F375" s="35">
        <f>99000*3</f>
        <v>297000</v>
      </c>
      <c r="G375" s="35">
        <f>99000*3</f>
        <v>297000</v>
      </c>
      <c r="H375" s="35">
        <v>0</v>
      </c>
      <c r="I375" s="35">
        <f t="shared" si="17"/>
        <v>297000</v>
      </c>
      <c r="J375" s="36">
        <f t="shared" si="18"/>
        <v>0</v>
      </c>
      <c r="K375" s="48" t="s">
        <v>14</v>
      </c>
      <c r="L375" s="48" t="s">
        <v>14</v>
      </c>
      <c r="M375" s="38">
        <v>43281</v>
      </c>
      <c r="N375" s="48" t="s">
        <v>18</v>
      </c>
      <c r="O375" s="35">
        <v>99000</v>
      </c>
      <c r="P375" s="35">
        <v>99000</v>
      </c>
      <c r="Q375" s="35">
        <v>99000</v>
      </c>
      <c r="R375" s="35"/>
      <c r="S375" s="58"/>
      <c r="T375" s="58"/>
    </row>
    <row r="376" spans="1:20" s="15" customFormat="1" ht="26.25" customHeight="1" x14ac:dyDescent="0.2">
      <c r="A376" s="43" t="s">
        <v>1115</v>
      </c>
      <c r="B376" s="46" t="s">
        <v>17</v>
      </c>
      <c r="C376" s="44" t="s">
        <v>1120</v>
      </c>
      <c r="D376" s="47">
        <v>14629</v>
      </c>
      <c r="E376" s="46" t="s">
        <v>1125</v>
      </c>
      <c r="F376" s="35">
        <v>24400</v>
      </c>
      <c r="G376" s="35">
        <v>24400</v>
      </c>
      <c r="H376" s="35">
        <v>0</v>
      </c>
      <c r="I376" s="35">
        <f t="shared" si="17"/>
        <v>24400</v>
      </c>
      <c r="J376" s="36">
        <f t="shared" si="18"/>
        <v>0</v>
      </c>
      <c r="K376" s="48" t="s">
        <v>14</v>
      </c>
      <c r="L376" s="48" t="s">
        <v>14</v>
      </c>
      <c r="M376" s="38">
        <v>43281</v>
      </c>
      <c r="N376" s="48"/>
      <c r="O376" s="35">
        <v>24400</v>
      </c>
      <c r="P376" s="35"/>
      <c r="Q376" s="35"/>
      <c r="R376" s="35"/>
      <c r="S376" s="58"/>
      <c r="T376" s="58"/>
    </row>
    <row r="377" spans="1:20" s="15" customFormat="1" ht="26.25" customHeight="1" x14ac:dyDescent="0.2">
      <c r="A377" s="43" t="s">
        <v>1116</v>
      </c>
      <c r="B377" s="46" t="s">
        <v>474</v>
      </c>
      <c r="C377" s="44" t="s">
        <v>1121</v>
      </c>
      <c r="D377" s="47">
        <v>14663</v>
      </c>
      <c r="E377" s="46" t="s">
        <v>1126</v>
      </c>
      <c r="F377" s="35">
        <v>30000</v>
      </c>
      <c r="G377" s="35">
        <v>30000</v>
      </c>
      <c r="H377" s="35">
        <v>0</v>
      </c>
      <c r="I377" s="35">
        <f t="shared" si="17"/>
        <v>30000</v>
      </c>
      <c r="J377" s="36">
        <f t="shared" si="18"/>
        <v>0</v>
      </c>
      <c r="K377" s="48" t="s">
        <v>14</v>
      </c>
      <c r="L377" s="48" t="s">
        <v>14</v>
      </c>
      <c r="M377" s="38">
        <v>43281</v>
      </c>
      <c r="N377" s="48"/>
      <c r="O377" s="35">
        <v>30000</v>
      </c>
      <c r="P377" s="35"/>
      <c r="Q377" s="35"/>
      <c r="R377" s="35"/>
      <c r="S377" s="58"/>
      <c r="T377" s="58"/>
    </row>
    <row r="378" spans="1:20" s="15" customFormat="1" ht="26.25" customHeight="1" x14ac:dyDescent="0.2">
      <c r="A378" s="43" t="s">
        <v>1117</v>
      </c>
      <c r="B378" s="46" t="s">
        <v>69</v>
      </c>
      <c r="C378" s="44" t="s">
        <v>1122</v>
      </c>
      <c r="D378" s="47">
        <v>14670</v>
      </c>
      <c r="E378" s="46" t="s">
        <v>1127</v>
      </c>
      <c r="F378" s="35">
        <f>48000*3</f>
        <v>144000</v>
      </c>
      <c r="G378" s="35">
        <f>48000*3</f>
        <v>144000</v>
      </c>
      <c r="H378" s="35">
        <v>0</v>
      </c>
      <c r="I378" s="35">
        <f t="shared" si="17"/>
        <v>144000</v>
      </c>
      <c r="J378" s="36">
        <f t="shared" si="18"/>
        <v>0</v>
      </c>
      <c r="K378" s="48" t="s">
        <v>14</v>
      </c>
      <c r="L378" s="48" t="s">
        <v>14</v>
      </c>
      <c r="M378" s="38">
        <v>43220</v>
      </c>
      <c r="N378" s="48" t="s">
        <v>18</v>
      </c>
      <c r="O378" s="35">
        <v>48000</v>
      </c>
      <c r="P378" s="35">
        <v>48000</v>
      </c>
      <c r="Q378" s="35">
        <v>48000</v>
      </c>
      <c r="R378" s="35"/>
      <c r="S378" s="58"/>
      <c r="T378" s="58"/>
    </row>
    <row r="379" spans="1:20" s="15" customFormat="1" ht="26.25" customHeight="1" x14ac:dyDescent="0.2">
      <c r="A379" s="43" t="s">
        <v>1118</v>
      </c>
      <c r="B379" s="46" t="s">
        <v>31</v>
      </c>
      <c r="C379" s="44" t="s">
        <v>1123</v>
      </c>
      <c r="D379" s="47">
        <v>14717</v>
      </c>
      <c r="E379" s="46" t="s">
        <v>1128</v>
      </c>
      <c r="F379" s="35">
        <v>28750</v>
      </c>
      <c r="G379" s="35">
        <v>28750</v>
      </c>
      <c r="H379" s="35">
        <v>0</v>
      </c>
      <c r="I379" s="35">
        <f t="shared" si="17"/>
        <v>28750</v>
      </c>
      <c r="J379" s="36">
        <f t="shared" si="18"/>
        <v>0</v>
      </c>
      <c r="K379" s="48" t="s">
        <v>14</v>
      </c>
      <c r="L379" s="48" t="s">
        <v>14</v>
      </c>
      <c r="M379" s="38">
        <v>43100</v>
      </c>
      <c r="N379" s="48"/>
      <c r="O379" s="35">
        <v>28750</v>
      </c>
      <c r="P379" s="35"/>
      <c r="Q379" s="35"/>
      <c r="R379" s="35"/>
      <c r="S379" s="58"/>
      <c r="T379" s="58"/>
    </row>
    <row r="380" spans="1:20" s="15" customFormat="1" ht="18" customHeight="1" x14ac:dyDescent="0.2">
      <c r="A380" s="43" t="s">
        <v>1119</v>
      </c>
      <c r="B380" s="46" t="s">
        <v>92</v>
      </c>
      <c r="C380" s="44" t="s">
        <v>1124</v>
      </c>
      <c r="D380" s="47">
        <v>14743</v>
      </c>
      <c r="E380" s="46" t="s">
        <v>1129</v>
      </c>
      <c r="F380" s="35">
        <v>8000</v>
      </c>
      <c r="G380" s="35">
        <v>8000</v>
      </c>
      <c r="H380" s="35">
        <v>0</v>
      </c>
      <c r="I380" s="35">
        <f t="shared" si="17"/>
        <v>8000</v>
      </c>
      <c r="J380" s="36">
        <f t="shared" si="18"/>
        <v>0</v>
      </c>
      <c r="K380" s="48" t="s">
        <v>14</v>
      </c>
      <c r="L380" s="48" t="s">
        <v>14</v>
      </c>
      <c r="M380" s="38">
        <v>43280</v>
      </c>
      <c r="N380" s="48"/>
      <c r="O380" s="35">
        <v>8000</v>
      </c>
      <c r="P380" s="35"/>
      <c r="Q380" s="35"/>
      <c r="R380" s="35"/>
      <c r="S380" s="58"/>
      <c r="T380" s="58"/>
    </row>
    <row r="381" spans="1:20" s="15" customFormat="1" ht="26.25" customHeight="1" x14ac:dyDescent="0.2">
      <c r="A381" s="43" t="s">
        <v>1130</v>
      </c>
      <c r="B381" s="46" t="s">
        <v>69</v>
      </c>
      <c r="C381" s="44" t="s">
        <v>265</v>
      </c>
      <c r="D381" s="47">
        <v>14760</v>
      </c>
      <c r="E381" s="46" t="s">
        <v>1133</v>
      </c>
      <c r="F381" s="35">
        <v>55000</v>
      </c>
      <c r="G381" s="35">
        <v>55000</v>
      </c>
      <c r="H381" s="35">
        <v>0</v>
      </c>
      <c r="I381" s="35">
        <f t="shared" si="17"/>
        <v>55000</v>
      </c>
      <c r="J381" s="36">
        <f t="shared" si="18"/>
        <v>0</v>
      </c>
      <c r="K381" s="48" t="s">
        <v>14</v>
      </c>
      <c r="L381" s="48" t="s">
        <v>14</v>
      </c>
      <c r="M381" s="38">
        <v>43251</v>
      </c>
      <c r="N381" s="48"/>
      <c r="O381" s="35">
        <v>55000</v>
      </c>
      <c r="P381" s="35"/>
      <c r="Q381" s="35"/>
      <c r="R381" s="35"/>
      <c r="S381" s="58"/>
      <c r="T381" s="58"/>
    </row>
    <row r="382" spans="1:20" s="15" customFormat="1" ht="26.25" customHeight="1" x14ac:dyDescent="0.2">
      <c r="A382" s="43" t="s">
        <v>1131</v>
      </c>
      <c r="B382" s="46" t="s">
        <v>21</v>
      </c>
      <c r="C382" s="44" t="s">
        <v>1132</v>
      </c>
      <c r="D382" s="47">
        <v>14699</v>
      </c>
      <c r="E382" s="46" t="s">
        <v>1134</v>
      </c>
      <c r="F382" s="35">
        <v>95000</v>
      </c>
      <c r="G382" s="35">
        <v>95000</v>
      </c>
      <c r="H382" s="35">
        <v>0</v>
      </c>
      <c r="I382" s="35">
        <f t="shared" si="17"/>
        <v>95000</v>
      </c>
      <c r="J382" s="36">
        <f t="shared" si="18"/>
        <v>0</v>
      </c>
      <c r="K382" s="48" t="s">
        <v>14</v>
      </c>
      <c r="L382" s="48" t="s">
        <v>14</v>
      </c>
      <c r="M382" s="38">
        <v>43265</v>
      </c>
      <c r="N382" s="48"/>
      <c r="O382" s="35">
        <v>95000</v>
      </c>
      <c r="P382" s="35"/>
      <c r="Q382" s="35"/>
      <c r="R382" s="35"/>
      <c r="S382" s="58"/>
      <c r="T382" s="58"/>
    </row>
    <row r="383" spans="1:20" s="15" customFormat="1" ht="26.25" customHeight="1" x14ac:dyDescent="0.2">
      <c r="A383" s="43" t="s">
        <v>1135</v>
      </c>
      <c r="B383" s="46" t="s">
        <v>36</v>
      </c>
      <c r="C383" s="44" t="s">
        <v>1141</v>
      </c>
      <c r="D383" s="47">
        <v>14817</v>
      </c>
      <c r="E383" s="46" t="s">
        <v>1145</v>
      </c>
      <c r="F383" s="35">
        <f>30656*3</f>
        <v>91968</v>
      </c>
      <c r="G383" s="35">
        <f>30656*3</f>
        <v>91968</v>
      </c>
      <c r="H383" s="35">
        <v>0</v>
      </c>
      <c r="I383" s="35">
        <f t="shared" si="17"/>
        <v>91968</v>
      </c>
      <c r="J383" s="36">
        <f t="shared" si="18"/>
        <v>0</v>
      </c>
      <c r="K383" s="48" t="s">
        <v>14</v>
      </c>
      <c r="L383" s="48" t="s">
        <v>14</v>
      </c>
      <c r="M383" s="38">
        <v>43281</v>
      </c>
      <c r="N383" s="48" t="s">
        <v>18</v>
      </c>
      <c r="O383" s="35"/>
      <c r="P383" s="35">
        <v>30656</v>
      </c>
      <c r="Q383" s="35">
        <v>30656</v>
      </c>
      <c r="R383" s="35">
        <v>30656</v>
      </c>
      <c r="S383" s="58"/>
      <c r="T383" s="58"/>
    </row>
    <row r="384" spans="1:20" s="15" customFormat="1" ht="26.25" customHeight="1" x14ac:dyDescent="0.2">
      <c r="A384" s="43" t="s">
        <v>1136</v>
      </c>
      <c r="B384" s="46" t="s">
        <v>1140</v>
      </c>
      <c r="C384" s="44" t="s">
        <v>1142</v>
      </c>
      <c r="D384" s="47">
        <v>14786</v>
      </c>
      <c r="E384" s="46" t="s">
        <v>1146</v>
      </c>
      <c r="F384" s="35">
        <f>6000*3</f>
        <v>18000</v>
      </c>
      <c r="G384" s="35">
        <f>6000*3</f>
        <v>18000</v>
      </c>
      <c r="H384" s="35">
        <v>0</v>
      </c>
      <c r="I384" s="35">
        <f t="shared" si="17"/>
        <v>18000</v>
      </c>
      <c r="J384" s="36">
        <f t="shared" si="18"/>
        <v>0</v>
      </c>
      <c r="K384" s="48" t="s">
        <v>14</v>
      </c>
      <c r="L384" s="48" t="s">
        <v>14</v>
      </c>
      <c r="M384" s="38">
        <v>43281</v>
      </c>
      <c r="N384" s="48" t="s">
        <v>18</v>
      </c>
      <c r="O384" s="35"/>
      <c r="P384" s="35">
        <v>6000</v>
      </c>
      <c r="Q384" s="35">
        <v>6000</v>
      </c>
      <c r="R384" s="35">
        <v>6000</v>
      </c>
      <c r="S384" s="58"/>
      <c r="T384" s="58"/>
    </row>
    <row r="385" spans="1:20" s="15" customFormat="1" ht="18" customHeight="1" x14ac:dyDescent="0.2">
      <c r="A385" s="43" t="s">
        <v>1137</v>
      </c>
      <c r="B385" s="46" t="s">
        <v>30</v>
      </c>
      <c r="C385" s="44" t="s">
        <v>1143</v>
      </c>
      <c r="D385" s="47">
        <v>14730</v>
      </c>
      <c r="E385" s="46" t="s">
        <v>1147</v>
      </c>
      <c r="F385" s="35">
        <v>22189</v>
      </c>
      <c r="G385" s="35">
        <v>22189</v>
      </c>
      <c r="H385" s="35">
        <v>0</v>
      </c>
      <c r="I385" s="35">
        <f t="shared" si="17"/>
        <v>22189</v>
      </c>
      <c r="J385" s="36">
        <f t="shared" si="18"/>
        <v>0</v>
      </c>
      <c r="K385" s="48" t="s">
        <v>14</v>
      </c>
      <c r="L385" s="48" t="s">
        <v>14</v>
      </c>
      <c r="M385" s="38">
        <v>43259</v>
      </c>
      <c r="N385" s="48"/>
      <c r="O385" s="35">
        <v>22189</v>
      </c>
      <c r="P385" s="35"/>
      <c r="Q385" s="35"/>
      <c r="R385" s="35"/>
      <c r="S385" s="58"/>
      <c r="T385" s="58"/>
    </row>
    <row r="386" spans="1:20" s="15" customFormat="1" ht="26.25" customHeight="1" x14ac:dyDescent="0.2">
      <c r="A386" s="43" t="s">
        <v>1138</v>
      </c>
      <c r="B386" s="46" t="s">
        <v>30</v>
      </c>
      <c r="C386" s="44" t="s">
        <v>1144</v>
      </c>
      <c r="D386" s="47">
        <v>14681</v>
      </c>
      <c r="E386" s="46" t="s">
        <v>1148</v>
      </c>
      <c r="F386" s="35">
        <v>10000</v>
      </c>
      <c r="G386" s="35">
        <v>30000</v>
      </c>
      <c r="H386" s="35">
        <v>10000</v>
      </c>
      <c r="I386" s="35">
        <f t="shared" si="17"/>
        <v>40000</v>
      </c>
      <c r="J386" s="36">
        <f t="shared" si="18"/>
        <v>0.33333333333333331</v>
      </c>
      <c r="K386" s="48" t="s">
        <v>14</v>
      </c>
      <c r="L386" s="48" t="s">
        <v>14</v>
      </c>
      <c r="M386" s="38">
        <v>42916</v>
      </c>
      <c r="N386" s="48" t="s">
        <v>28</v>
      </c>
      <c r="O386" s="35">
        <v>10000</v>
      </c>
      <c r="P386" s="35"/>
      <c r="Q386" s="35"/>
      <c r="R386" s="35"/>
      <c r="S386" s="58"/>
      <c r="T386" s="58"/>
    </row>
    <row r="387" spans="1:20" s="15" customFormat="1" ht="26.25" customHeight="1" x14ac:dyDescent="0.2">
      <c r="A387" s="43" t="s">
        <v>1139</v>
      </c>
      <c r="B387" s="46" t="s">
        <v>92</v>
      </c>
      <c r="C387" s="44" t="s">
        <v>82</v>
      </c>
      <c r="D387" s="47">
        <v>14801</v>
      </c>
      <c r="E387" s="46" t="s">
        <v>1149</v>
      </c>
      <c r="F387" s="35">
        <f>5159*3</f>
        <v>15477</v>
      </c>
      <c r="G387" s="35">
        <f>5159*3</f>
        <v>15477</v>
      </c>
      <c r="H387" s="35">
        <v>0</v>
      </c>
      <c r="I387" s="35">
        <f t="shared" si="17"/>
        <v>15477</v>
      </c>
      <c r="J387" s="36">
        <f t="shared" si="18"/>
        <v>0</v>
      </c>
      <c r="K387" s="48" t="s">
        <v>14</v>
      </c>
      <c r="L387" s="48" t="s">
        <v>14</v>
      </c>
      <c r="M387" s="38">
        <v>43281</v>
      </c>
      <c r="N387" s="48" t="s">
        <v>18</v>
      </c>
      <c r="O387" s="35"/>
      <c r="P387" s="35">
        <v>5159</v>
      </c>
      <c r="Q387" s="35">
        <v>5159</v>
      </c>
      <c r="R387" s="35">
        <v>5159</v>
      </c>
      <c r="S387" s="58"/>
      <c r="T387" s="58"/>
    </row>
    <row r="388" spans="1:20" s="15" customFormat="1" ht="26.25" customHeight="1" x14ac:dyDescent="0.2">
      <c r="A388" s="43" t="s">
        <v>1150</v>
      </c>
      <c r="B388" s="46" t="s">
        <v>21</v>
      </c>
      <c r="C388" s="44" t="s">
        <v>641</v>
      </c>
      <c r="D388" s="47">
        <v>14478</v>
      </c>
      <c r="E388" s="46" t="s">
        <v>1168</v>
      </c>
      <c r="F388" s="35">
        <f>39800+39800</f>
        <v>79600</v>
      </c>
      <c r="G388" s="35">
        <f>39800+39800</f>
        <v>79600</v>
      </c>
      <c r="H388" s="35">
        <v>0</v>
      </c>
      <c r="I388" s="35">
        <f t="shared" si="17"/>
        <v>79600</v>
      </c>
      <c r="J388" s="36">
        <f t="shared" si="18"/>
        <v>0</v>
      </c>
      <c r="K388" s="48" t="s">
        <v>15</v>
      </c>
      <c r="L388" s="48" t="s">
        <v>15</v>
      </c>
      <c r="M388" s="38">
        <v>43010</v>
      </c>
      <c r="N388" s="48" t="s">
        <v>18</v>
      </c>
      <c r="O388" s="35"/>
      <c r="P388" s="35">
        <v>39800</v>
      </c>
      <c r="Q388" s="35">
        <v>39800</v>
      </c>
      <c r="R388" s="35"/>
      <c r="S388" s="58"/>
      <c r="T388" s="58"/>
    </row>
    <row r="389" spans="1:20" s="15" customFormat="1" ht="18" customHeight="1" x14ac:dyDescent="0.2">
      <c r="A389" s="43" t="s">
        <v>1151</v>
      </c>
      <c r="B389" s="46" t="s">
        <v>20</v>
      </c>
      <c r="C389" s="44" t="s">
        <v>74</v>
      </c>
      <c r="D389" s="47">
        <v>14589</v>
      </c>
      <c r="E389" s="46" t="s">
        <v>1169</v>
      </c>
      <c r="F389" s="35">
        <f>15000*3</f>
        <v>45000</v>
      </c>
      <c r="G389" s="35">
        <f>15000*3</f>
        <v>45000</v>
      </c>
      <c r="H389" s="35">
        <v>0</v>
      </c>
      <c r="I389" s="35">
        <f t="shared" si="17"/>
        <v>45000</v>
      </c>
      <c r="J389" s="36">
        <f t="shared" si="18"/>
        <v>0</v>
      </c>
      <c r="K389" s="48" t="s">
        <v>14</v>
      </c>
      <c r="L389" s="48" t="s">
        <v>14</v>
      </c>
      <c r="M389" s="38">
        <v>43281</v>
      </c>
      <c r="N389" s="48" t="s">
        <v>18</v>
      </c>
      <c r="O389" s="35"/>
      <c r="P389" s="35">
        <v>15000</v>
      </c>
      <c r="Q389" s="35">
        <v>15000</v>
      </c>
      <c r="R389" s="35">
        <v>15000</v>
      </c>
      <c r="S389" s="58"/>
      <c r="T389" s="58"/>
    </row>
    <row r="390" spans="1:20" s="15" customFormat="1" ht="26.25" customHeight="1" x14ac:dyDescent="0.2">
      <c r="A390" s="43" t="s">
        <v>1152</v>
      </c>
      <c r="B390" s="46" t="s">
        <v>35</v>
      </c>
      <c r="C390" s="44" t="s">
        <v>1161</v>
      </c>
      <c r="D390" s="47">
        <v>14703</v>
      </c>
      <c r="E390" s="46" t="s">
        <v>1170</v>
      </c>
      <c r="F390" s="35">
        <v>11467</v>
      </c>
      <c r="G390" s="35">
        <v>11467</v>
      </c>
      <c r="H390" s="35">
        <v>0</v>
      </c>
      <c r="I390" s="35">
        <f t="shared" si="17"/>
        <v>11467</v>
      </c>
      <c r="J390" s="36">
        <f t="shared" si="18"/>
        <v>0</v>
      </c>
      <c r="K390" s="48" t="s">
        <v>14</v>
      </c>
      <c r="L390" s="48" t="s">
        <v>15</v>
      </c>
      <c r="M390" s="38">
        <v>43297</v>
      </c>
      <c r="N390" s="48"/>
      <c r="O390" s="35"/>
      <c r="P390" s="35">
        <v>11467</v>
      </c>
      <c r="Q390" s="35"/>
      <c r="R390" s="35"/>
      <c r="S390" s="58"/>
      <c r="T390" s="58"/>
    </row>
    <row r="391" spans="1:20" s="15" customFormat="1" ht="26.25" customHeight="1" x14ac:dyDescent="0.2">
      <c r="A391" s="43" t="s">
        <v>1153</v>
      </c>
      <c r="B391" s="46" t="s">
        <v>21</v>
      </c>
      <c r="C391" s="44" t="s">
        <v>32</v>
      </c>
      <c r="D391" s="47">
        <v>14710</v>
      </c>
      <c r="E391" s="46" t="s">
        <v>1171</v>
      </c>
      <c r="F391" s="35">
        <f>25829*3</f>
        <v>77487</v>
      </c>
      <c r="G391" s="35">
        <f>25829*3</f>
        <v>77487</v>
      </c>
      <c r="H391" s="35">
        <v>0</v>
      </c>
      <c r="I391" s="35">
        <f t="shared" si="17"/>
        <v>77487</v>
      </c>
      <c r="J391" s="36">
        <f t="shared" si="18"/>
        <v>0</v>
      </c>
      <c r="K391" s="48" t="s">
        <v>14</v>
      </c>
      <c r="L391" s="48" t="s">
        <v>15</v>
      </c>
      <c r="M391" s="38">
        <v>43244</v>
      </c>
      <c r="N391" s="48" t="s">
        <v>18</v>
      </c>
      <c r="O391" s="35">
        <v>25829</v>
      </c>
      <c r="P391" s="35">
        <v>25829</v>
      </c>
      <c r="Q391" s="35">
        <v>25829</v>
      </c>
      <c r="R391" s="35"/>
      <c r="S391" s="58"/>
      <c r="T391" s="58"/>
    </row>
    <row r="392" spans="1:20" s="15" customFormat="1" ht="26.25" customHeight="1" x14ac:dyDescent="0.2">
      <c r="A392" s="43" t="s">
        <v>1154</v>
      </c>
      <c r="B392" s="46" t="s">
        <v>92</v>
      </c>
      <c r="C392" s="44" t="s">
        <v>126</v>
      </c>
      <c r="D392" s="47">
        <v>14852</v>
      </c>
      <c r="E392" s="46" t="s">
        <v>1172</v>
      </c>
      <c r="F392" s="35">
        <f>5024*3</f>
        <v>15072</v>
      </c>
      <c r="G392" s="35">
        <f>5024*3</f>
        <v>15072</v>
      </c>
      <c r="H392" s="35">
        <v>0</v>
      </c>
      <c r="I392" s="35">
        <f t="shared" si="17"/>
        <v>15072</v>
      </c>
      <c r="J392" s="36">
        <f t="shared" si="18"/>
        <v>0</v>
      </c>
      <c r="K392" s="48" t="s">
        <v>14</v>
      </c>
      <c r="L392" s="48" t="s">
        <v>15</v>
      </c>
      <c r="M392" s="38">
        <v>43281</v>
      </c>
      <c r="N392" s="48" t="s">
        <v>18</v>
      </c>
      <c r="O392" s="35">
        <v>5024</v>
      </c>
      <c r="P392" s="35">
        <v>5024</v>
      </c>
      <c r="Q392" s="35">
        <v>5024</v>
      </c>
      <c r="R392" s="35"/>
      <c r="S392" s="58"/>
      <c r="T392" s="58"/>
    </row>
    <row r="393" spans="1:20" s="15" customFormat="1" ht="26.25" customHeight="1" x14ac:dyDescent="0.2">
      <c r="A393" s="43" t="s">
        <v>1155</v>
      </c>
      <c r="B393" s="46" t="s">
        <v>92</v>
      </c>
      <c r="C393" s="44" t="s">
        <v>1162</v>
      </c>
      <c r="D393" s="47">
        <v>14853</v>
      </c>
      <c r="E393" s="46" t="s">
        <v>1173</v>
      </c>
      <c r="F393" s="35">
        <f>11374*3</f>
        <v>34122</v>
      </c>
      <c r="G393" s="35">
        <f>11374*3</f>
        <v>34122</v>
      </c>
      <c r="H393" s="35">
        <v>0</v>
      </c>
      <c r="I393" s="35">
        <f t="shared" si="17"/>
        <v>34122</v>
      </c>
      <c r="J393" s="36">
        <f t="shared" si="18"/>
        <v>0</v>
      </c>
      <c r="K393" s="48" t="s">
        <v>14</v>
      </c>
      <c r="L393" s="48" t="s">
        <v>15</v>
      </c>
      <c r="M393" s="38">
        <v>43281</v>
      </c>
      <c r="N393" s="48" t="s">
        <v>18</v>
      </c>
      <c r="O393" s="35">
        <v>11374</v>
      </c>
      <c r="P393" s="35">
        <v>11374</v>
      </c>
      <c r="Q393" s="35">
        <v>11374</v>
      </c>
      <c r="R393" s="35"/>
      <c r="S393" s="58"/>
      <c r="T393" s="58"/>
    </row>
    <row r="394" spans="1:20" s="15" customFormat="1" ht="26.25" customHeight="1" x14ac:dyDescent="0.2">
      <c r="A394" s="43" t="s">
        <v>1156</v>
      </c>
      <c r="B394" s="46" t="s">
        <v>20</v>
      </c>
      <c r="C394" s="44" t="s">
        <v>1163</v>
      </c>
      <c r="D394" s="47">
        <v>14885</v>
      </c>
      <c r="E394" s="46" t="s">
        <v>1174</v>
      </c>
      <c r="F394" s="35">
        <f>7290*3</f>
        <v>21870</v>
      </c>
      <c r="G394" s="35">
        <f>7290*3</f>
        <v>21870</v>
      </c>
      <c r="H394" s="35">
        <v>0</v>
      </c>
      <c r="I394" s="35">
        <f t="shared" si="17"/>
        <v>21870</v>
      </c>
      <c r="J394" s="36">
        <f t="shared" si="18"/>
        <v>0</v>
      </c>
      <c r="K394" s="48" t="s">
        <v>14</v>
      </c>
      <c r="L394" s="48" t="s">
        <v>14</v>
      </c>
      <c r="M394" s="38">
        <v>43281</v>
      </c>
      <c r="N394" s="48" t="s">
        <v>18</v>
      </c>
      <c r="O394" s="35"/>
      <c r="P394" s="35">
        <v>7290</v>
      </c>
      <c r="Q394" s="35">
        <v>7290</v>
      </c>
      <c r="R394" s="35">
        <v>7290</v>
      </c>
      <c r="S394" s="58"/>
      <c r="T394" s="58"/>
    </row>
    <row r="395" spans="1:20" s="15" customFormat="1" ht="26.25" customHeight="1" x14ac:dyDescent="0.2">
      <c r="A395" s="43" t="s">
        <v>1157</v>
      </c>
      <c r="B395" s="46" t="s">
        <v>23</v>
      </c>
      <c r="C395" s="44" t="s">
        <v>1164</v>
      </c>
      <c r="D395" s="47">
        <v>14890</v>
      </c>
      <c r="E395" s="46" t="s">
        <v>1175</v>
      </c>
      <c r="F395" s="35">
        <f>38886*3</f>
        <v>116658</v>
      </c>
      <c r="G395" s="35">
        <f>38886*3</f>
        <v>116658</v>
      </c>
      <c r="H395" s="35">
        <v>0</v>
      </c>
      <c r="I395" s="35">
        <f t="shared" si="17"/>
        <v>116658</v>
      </c>
      <c r="J395" s="36">
        <f t="shared" si="18"/>
        <v>0</v>
      </c>
      <c r="K395" s="48" t="s">
        <v>14</v>
      </c>
      <c r="L395" s="48" t="s">
        <v>15</v>
      </c>
      <c r="M395" s="38">
        <v>44012</v>
      </c>
      <c r="N395" s="48" t="s">
        <v>18</v>
      </c>
      <c r="O395" s="35"/>
      <c r="P395" s="35">
        <v>38886</v>
      </c>
      <c r="Q395" s="35">
        <v>38886</v>
      </c>
      <c r="R395" s="35">
        <v>38886</v>
      </c>
      <c r="S395" s="58"/>
      <c r="T395" s="58"/>
    </row>
    <row r="396" spans="1:20" s="15" customFormat="1" ht="26.25" customHeight="1" x14ac:dyDescent="0.2">
      <c r="A396" s="43" t="s">
        <v>1158</v>
      </c>
      <c r="B396" s="46" t="s">
        <v>20</v>
      </c>
      <c r="C396" s="44" t="s">
        <v>74</v>
      </c>
      <c r="D396" s="54" t="s">
        <v>1167</v>
      </c>
      <c r="E396" s="46" t="s">
        <v>1169</v>
      </c>
      <c r="F396" s="35">
        <v>5000</v>
      </c>
      <c r="G396" s="35">
        <v>15000</v>
      </c>
      <c r="H396" s="35">
        <v>5000</v>
      </c>
      <c r="I396" s="35">
        <f t="shared" si="17"/>
        <v>20000</v>
      </c>
      <c r="J396" s="36">
        <f t="shared" si="18"/>
        <v>0.33333333333333331</v>
      </c>
      <c r="K396" s="48" t="s">
        <v>14</v>
      </c>
      <c r="L396" s="48" t="s">
        <v>14</v>
      </c>
      <c r="M396" s="38">
        <v>42916</v>
      </c>
      <c r="N396" s="48" t="s">
        <v>28</v>
      </c>
      <c r="O396" s="35">
        <v>5000</v>
      </c>
      <c r="P396" s="35"/>
      <c r="Q396" s="35"/>
      <c r="R396" s="35"/>
      <c r="S396" s="58"/>
      <c r="T396" s="58"/>
    </row>
    <row r="397" spans="1:20" s="15" customFormat="1" ht="26.25" customHeight="1" x14ac:dyDescent="0.2">
      <c r="A397" s="43" t="s">
        <v>1159</v>
      </c>
      <c r="B397" s="46" t="s">
        <v>21</v>
      </c>
      <c r="C397" s="44" t="s">
        <v>1165</v>
      </c>
      <c r="D397" s="47">
        <v>14820</v>
      </c>
      <c r="E397" s="46" t="s">
        <v>1177</v>
      </c>
      <c r="F397" s="35">
        <v>48833</v>
      </c>
      <c r="G397" s="35">
        <v>48833</v>
      </c>
      <c r="H397" s="35">
        <v>0</v>
      </c>
      <c r="I397" s="35">
        <f t="shared" si="17"/>
        <v>48833</v>
      </c>
      <c r="J397" s="36">
        <f t="shared" si="18"/>
        <v>0</v>
      </c>
      <c r="K397" s="48" t="s">
        <v>14</v>
      </c>
      <c r="L397" s="48" t="s">
        <v>14</v>
      </c>
      <c r="M397" s="38">
        <v>42946</v>
      </c>
      <c r="N397" s="48"/>
      <c r="O397" s="35">
        <v>48833</v>
      </c>
      <c r="P397" s="35"/>
      <c r="Q397" s="35"/>
      <c r="R397" s="35"/>
      <c r="S397" s="58"/>
      <c r="T397" s="58"/>
    </row>
    <row r="398" spans="1:20" s="15" customFormat="1" ht="18" customHeight="1" x14ac:dyDescent="0.2">
      <c r="A398" s="43" t="s">
        <v>1160</v>
      </c>
      <c r="B398" s="46" t="s">
        <v>36</v>
      </c>
      <c r="C398" s="44" t="s">
        <v>1166</v>
      </c>
      <c r="D398" s="47">
        <v>14922</v>
      </c>
      <c r="E398" s="46" t="s">
        <v>1176</v>
      </c>
      <c r="F398" s="35">
        <v>16627</v>
      </c>
      <c r="G398" s="35">
        <v>16627</v>
      </c>
      <c r="H398" s="35">
        <v>0</v>
      </c>
      <c r="I398" s="35">
        <f t="shared" si="17"/>
        <v>16627</v>
      </c>
      <c r="J398" s="36">
        <f t="shared" si="18"/>
        <v>0</v>
      </c>
      <c r="K398" s="48" t="s">
        <v>14</v>
      </c>
      <c r="L398" s="48" t="s">
        <v>14</v>
      </c>
      <c r="M398" s="38">
        <v>42916</v>
      </c>
      <c r="N398" s="48"/>
      <c r="O398" s="35">
        <v>16627</v>
      </c>
      <c r="P398" s="35"/>
      <c r="Q398" s="35"/>
      <c r="R398" s="35"/>
      <c r="S398" s="58"/>
      <c r="T398" s="58"/>
    </row>
    <row r="399" spans="1:20" s="15" customFormat="1" ht="26.25" customHeight="1" x14ac:dyDescent="0.2">
      <c r="A399" s="43" t="s">
        <v>1178</v>
      </c>
      <c r="B399" s="43" t="s">
        <v>21</v>
      </c>
      <c r="C399" s="43" t="s">
        <v>1180</v>
      </c>
      <c r="D399" s="47">
        <v>14664</v>
      </c>
      <c r="E399" s="46" t="s">
        <v>1183</v>
      </c>
      <c r="F399" s="35">
        <v>70862</v>
      </c>
      <c r="G399" s="35">
        <v>70862</v>
      </c>
      <c r="H399" s="35">
        <v>0</v>
      </c>
      <c r="I399" s="35">
        <f t="shared" si="17"/>
        <v>70862</v>
      </c>
      <c r="J399" s="36">
        <f t="shared" si="18"/>
        <v>0</v>
      </c>
      <c r="K399" s="48" t="s">
        <v>14</v>
      </c>
      <c r="L399" s="48" t="s">
        <v>15</v>
      </c>
      <c r="M399" s="38">
        <v>43281</v>
      </c>
      <c r="N399" s="48"/>
      <c r="O399" s="35"/>
      <c r="P399" s="35">
        <v>70862</v>
      </c>
      <c r="Q399" s="35"/>
      <c r="R399" s="35"/>
      <c r="S399" s="58"/>
      <c r="T399" s="58"/>
    </row>
    <row r="400" spans="1:20" s="15" customFormat="1" ht="26.25" customHeight="1" x14ac:dyDescent="0.2">
      <c r="A400" s="43" t="s">
        <v>1179</v>
      </c>
      <c r="B400" s="43" t="s">
        <v>166</v>
      </c>
      <c r="C400" s="43" t="s">
        <v>1181</v>
      </c>
      <c r="D400" s="47">
        <v>14825</v>
      </c>
      <c r="E400" s="46" t="s">
        <v>1182</v>
      </c>
      <c r="F400" s="35">
        <f>97500*2</f>
        <v>195000</v>
      </c>
      <c r="G400" s="35">
        <f>97500*2</f>
        <v>195000</v>
      </c>
      <c r="H400" s="35">
        <v>0</v>
      </c>
      <c r="I400" s="35">
        <f>G400+H400</f>
        <v>195000</v>
      </c>
      <c r="J400" s="36">
        <f>IF(G400=0,100%,(I400-G400)/G400)</f>
        <v>0</v>
      </c>
      <c r="K400" s="48" t="s">
        <v>14</v>
      </c>
      <c r="L400" s="48" t="s">
        <v>14</v>
      </c>
      <c r="M400" s="38">
        <v>43159</v>
      </c>
      <c r="N400" s="48" t="s">
        <v>18</v>
      </c>
      <c r="O400" s="35"/>
      <c r="P400" s="35">
        <v>97500</v>
      </c>
      <c r="Q400" s="35">
        <v>97500</v>
      </c>
      <c r="R400" s="35"/>
      <c r="S400" s="58"/>
      <c r="T400" s="58"/>
    </row>
    <row r="401" spans="1:20" s="15" customFormat="1" ht="18" customHeight="1" x14ac:dyDescent="0.2">
      <c r="A401" s="43" t="s">
        <v>443</v>
      </c>
      <c r="B401" s="46" t="s">
        <v>820</v>
      </c>
      <c r="C401" s="43"/>
      <c r="D401" s="47"/>
      <c r="E401" s="46"/>
      <c r="F401" s="35"/>
      <c r="G401" s="35"/>
      <c r="H401" s="35"/>
      <c r="I401" s="35"/>
      <c r="J401" s="36"/>
      <c r="K401" s="48"/>
      <c r="L401" s="48"/>
      <c r="M401" s="38"/>
      <c r="N401" s="48"/>
      <c r="O401" s="35"/>
      <c r="P401" s="35"/>
      <c r="Q401" s="35"/>
      <c r="R401" s="35"/>
      <c r="S401" s="58"/>
      <c r="T401" s="58"/>
    </row>
    <row r="402" spans="1:20" s="15" customFormat="1" ht="26.25" customHeight="1" x14ac:dyDescent="0.2">
      <c r="A402" s="43"/>
      <c r="B402" s="46"/>
      <c r="C402" s="44"/>
      <c r="D402" s="34"/>
      <c r="E402" s="46"/>
      <c r="F402" s="35"/>
      <c r="G402" s="40"/>
      <c r="H402" s="35"/>
      <c r="I402" s="35"/>
      <c r="J402" s="36"/>
      <c r="K402" s="48"/>
      <c r="L402" s="37"/>
      <c r="M402" s="38"/>
      <c r="N402" s="37"/>
      <c r="O402" s="35"/>
      <c r="P402" s="35"/>
      <c r="Q402" s="35"/>
      <c r="R402" s="35"/>
      <c r="S402" s="58"/>
      <c r="T402" s="58"/>
    </row>
    <row r="403" spans="1:20" s="20" customFormat="1" ht="26.25" customHeight="1" x14ac:dyDescent="0.2">
      <c r="A403" s="14"/>
      <c r="B403" s="27"/>
      <c r="C403" s="33"/>
      <c r="D403" s="33"/>
      <c r="E403" s="11" t="s">
        <v>4</v>
      </c>
      <c r="F403" s="26">
        <f>SUM(F2:F402)</f>
        <v>28613348</v>
      </c>
      <c r="G403" s="26">
        <f>SUM(G2:G402)</f>
        <v>31178009</v>
      </c>
      <c r="H403" s="26">
        <f>SUM(H2:H402)</f>
        <v>3574141</v>
      </c>
      <c r="I403" s="26">
        <f>SUM(I2:I402)</f>
        <v>34752150</v>
      </c>
      <c r="J403" s="16"/>
      <c r="K403" s="17"/>
      <c r="L403" s="17"/>
      <c r="M403" s="18"/>
      <c r="N403" s="17"/>
      <c r="O403" s="26">
        <f t="shared" ref="O403:T403" si="19">SUM(O2:O402)</f>
        <v>15226058</v>
      </c>
      <c r="P403" s="26">
        <f t="shared" si="19"/>
        <v>7103287</v>
      </c>
      <c r="Q403" s="26">
        <f t="shared" si="19"/>
        <v>6091012</v>
      </c>
      <c r="R403" s="26">
        <f t="shared" si="19"/>
        <v>162991</v>
      </c>
      <c r="S403" s="26">
        <f t="shared" si="19"/>
        <v>15000</v>
      </c>
      <c r="T403" s="26">
        <f t="shared" si="19"/>
        <v>15000</v>
      </c>
    </row>
    <row r="404" spans="1:20" s="20" customFormat="1" ht="26.25" customHeight="1" x14ac:dyDescent="0.2">
      <c r="A404" s="21"/>
      <c r="B404" s="22"/>
      <c r="C404" s="23"/>
      <c r="D404" s="23"/>
      <c r="E404" s="22"/>
      <c r="F404" s="19"/>
      <c r="G404" s="19"/>
      <c r="H404" s="19"/>
      <c r="J404" s="24"/>
      <c r="K404" s="25"/>
      <c r="L404" s="25"/>
      <c r="N404" s="25"/>
    </row>
    <row r="405" spans="1:20" ht="26.25" customHeight="1" x14ac:dyDescent="0.2">
      <c r="A405" s="30"/>
      <c r="B405" s="31"/>
      <c r="C405" s="4"/>
      <c r="F405" s="19"/>
      <c r="G405" s="19"/>
      <c r="H405" s="19"/>
      <c r="I405" s="20"/>
      <c r="O405" s="28"/>
      <c r="P405" s="28"/>
    </row>
    <row r="406" spans="1:20" x14ac:dyDescent="0.2">
      <c r="C406" s="4"/>
    </row>
    <row r="407" spans="1:20" x14ac:dyDescent="0.2">
      <c r="C407" s="4"/>
      <c r="O407" s="28"/>
      <c r="P407" s="28"/>
    </row>
    <row r="408" spans="1:20" x14ac:dyDescent="0.2">
      <c r="C408" s="4"/>
    </row>
    <row r="409" spans="1:20" x14ac:dyDescent="0.2">
      <c r="C409" s="4"/>
      <c r="G409" s="32"/>
      <c r="O409" s="29"/>
      <c r="P409" s="29"/>
    </row>
    <row r="410" spans="1:20" x14ac:dyDescent="0.2">
      <c r="C410" s="4"/>
      <c r="Q410" s="53"/>
      <c r="R410" s="53"/>
    </row>
    <row r="411" spans="1:20" x14ac:dyDescent="0.2">
      <c r="C411" s="4"/>
    </row>
    <row r="412" spans="1:20" x14ac:dyDescent="0.2">
      <c r="C412" s="4"/>
    </row>
    <row r="413" spans="1:20" x14ac:dyDescent="0.2">
      <c r="C413" s="4"/>
    </row>
    <row r="414" spans="1:20" x14ac:dyDescent="0.2">
      <c r="C414" s="4"/>
    </row>
    <row r="415" spans="1:20" x14ac:dyDescent="0.2">
      <c r="C415" s="4"/>
    </row>
    <row r="416" spans="1:20" x14ac:dyDescent="0.2">
      <c r="C416" s="4"/>
    </row>
    <row r="417" spans="1:20" s="4" customFormat="1" x14ac:dyDescent="0.2">
      <c r="A417" s="12"/>
      <c r="B417" s="2"/>
      <c r="E417" s="2"/>
      <c r="F417" s="3"/>
      <c r="G417" s="3"/>
      <c r="H417" s="3"/>
      <c r="I417"/>
      <c r="J417" s="5"/>
      <c r="K417" s="1"/>
      <c r="L417" s="1"/>
      <c r="M417"/>
      <c r="N417" s="1"/>
      <c r="O417"/>
      <c r="P417"/>
      <c r="Q417"/>
      <c r="R417"/>
      <c r="S417"/>
      <c r="T417"/>
    </row>
    <row r="418" spans="1:20" s="4" customFormat="1" x14ac:dyDescent="0.2">
      <c r="A418" s="12"/>
      <c r="B418" s="2"/>
      <c r="E418" s="2"/>
      <c r="F418" s="3"/>
      <c r="G418" s="3"/>
      <c r="H418" s="3"/>
      <c r="I418"/>
      <c r="J418" s="5"/>
      <c r="K418" s="1"/>
      <c r="L418" s="1"/>
      <c r="M418"/>
      <c r="N418" s="1"/>
      <c r="O418"/>
      <c r="P418"/>
      <c r="Q418"/>
      <c r="R418"/>
      <c r="S418"/>
      <c r="T418"/>
    </row>
    <row r="419" spans="1:20" s="4" customFormat="1" x14ac:dyDescent="0.2">
      <c r="A419" s="12"/>
      <c r="B419" s="2"/>
      <c r="E419" s="2"/>
      <c r="F419" s="3"/>
      <c r="G419" s="3"/>
      <c r="H419" s="3"/>
      <c r="I419"/>
      <c r="J419" s="5"/>
      <c r="K419" s="1"/>
      <c r="L419" s="1"/>
      <c r="M419"/>
      <c r="N419" s="1"/>
      <c r="O419"/>
      <c r="P419"/>
      <c r="Q419"/>
      <c r="R419"/>
      <c r="S419"/>
      <c r="T419"/>
    </row>
    <row r="420" spans="1:20" s="4" customFormat="1" x14ac:dyDescent="0.2">
      <c r="A420" s="12"/>
      <c r="B420" s="2"/>
      <c r="E420" s="2"/>
      <c r="F420" s="3"/>
      <c r="G420" s="3"/>
      <c r="H420" s="3"/>
      <c r="I420"/>
      <c r="J420" s="5"/>
      <c r="K420" s="1"/>
      <c r="L420" s="1"/>
      <c r="M420"/>
      <c r="N420" s="1"/>
      <c r="O420"/>
      <c r="P420"/>
      <c r="Q420"/>
      <c r="R420"/>
      <c r="S420"/>
      <c r="T420"/>
    </row>
    <row r="421" spans="1:20" s="4" customFormat="1" x14ac:dyDescent="0.2">
      <c r="A421" s="12"/>
      <c r="B421" s="2"/>
      <c r="E421" s="2"/>
      <c r="F421" s="3"/>
      <c r="G421" s="3"/>
      <c r="H421" s="3"/>
      <c r="I421"/>
      <c r="J421" s="5"/>
      <c r="K421" s="1"/>
      <c r="L421" s="1"/>
      <c r="M421"/>
      <c r="N421" s="1"/>
      <c r="O421"/>
      <c r="P421"/>
      <c r="Q421"/>
      <c r="R421"/>
      <c r="S421"/>
      <c r="T421"/>
    </row>
    <row r="422" spans="1:20" s="4" customFormat="1" x14ac:dyDescent="0.2">
      <c r="A422" s="12"/>
      <c r="B422" s="2"/>
      <c r="E422" s="2"/>
      <c r="F422" s="3"/>
      <c r="G422" s="3"/>
      <c r="H422" s="3"/>
      <c r="I422"/>
      <c r="J422" s="5"/>
      <c r="K422" s="1"/>
      <c r="L422" s="1"/>
      <c r="M422"/>
      <c r="N422" s="1"/>
      <c r="O422"/>
      <c r="P422"/>
      <c r="Q422"/>
      <c r="R422"/>
      <c r="S422"/>
      <c r="T422"/>
    </row>
    <row r="423" spans="1:20" s="4" customFormat="1" x14ac:dyDescent="0.2">
      <c r="A423" s="12"/>
      <c r="B423" s="2"/>
      <c r="E423" s="2"/>
      <c r="F423" s="3"/>
      <c r="G423" s="3"/>
      <c r="H423" s="3"/>
      <c r="I423"/>
      <c r="J423" s="5"/>
      <c r="K423" s="1"/>
      <c r="L423" s="1"/>
      <c r="M423"/>
      <c r="N423" s="1"/>
      <c r="O423"/>
      <c r="P423"/>
      <c r="Q423"/>
      <c r="R423"/>
      <c r="S423"/>
      <c r="T423"/>
    </row>
    <row r="424" spans="1:20" s="4" customFormat="1" x14ac:dyDescent="0.2">
      <c r="A424" s="12"/>
      <c r="B424" s="2"/>
      <c r="E424" s="2"/>
      <c r="F424" s="3"/>
      <c r="G424" s="3"/>
      <c r="H424" s="3"/>
      <c r="I424"/>
      <c r="J424" s="5"/>
      <c r="K424" s="1"/>
      <c r="L424" s="1"/>
      <c r="M424"/>
      <c r="N424" s="1"/>
      <c r="O424"/>
      <c r="P424"/>
      <c r="Q424"/>
      <c r="R424"/>
      <c r="S424"/>
      <c r="T424"/>
    </row>
    <row r="425" spans="1:20" s="4" customFormat="1" x14ac:dyDescent="0.2">
      <c r="A425" s="12"/>
      <c r="B425" s="2"/>
      <c r="E425" s="2"/>
      <c r="F425" s="3"/>
      <c r="G425" s="3"/>
      <c r="H425" s="3"/>
      <c r="I425"/>
      <c r="J425" s="5"/>
      <c r="K425" s="1"/>
      <c r="L425" s="1"/>
      <c r="M425"/>
      <c r="N425" s="1"/>
      <c r="O425"/>
      <c r="P425"/>
      <c r="Q425"/>
      <c r="R425"/>
      <c r="S425"/>
      <c r="T425"/>
    </row>
    <row r="426" spans="1:20" s="4" customFormat="1" x14ac:dyDescent="0.2">
      <c r="A426" s="12"/>
      <c r="B426" s="2"/>
      <c r="E426" s="2"/>
      <c r="F426" s="3"/>
      <c r="G426" s="3"/>
      <c r="H426" s="3"/>
      <c r="I426"/>
      <c r="J426" s="5"/>
      <c r="K426" s="1"/>
      <c r="L426" s="1"/>
      <c r="M426"/>
      <c r="N426" s="1"/>
      <c r="O426"/>
      <c r="P426"/>
      <c r="Q426"/>
      <c r="R426"/>
      <c r="S426"/>
      <c r="T426"/>
    </row>
    <row r="427" spans="1:20" s="4" customFormat="1" x14ac:dyDescent="0.2">
      <c r="A427" s="12"/>
      <c r="B427" s="2"/>
      <c r="E427" s="2"/>
      <c r="F427" s="3"/>
      <c r="G427" s="3"/>
      <c r="H427" s="3"/>
      <c r="I427"/>
      <c r="J427" s="5"/>
      <c r="K427" s="1"/>
      <c r="L427" s="1"/>
      <c r="M427"/>
      <c r="N427" s="1"/>
      <c r="O427"/>
      <c r="P427"/>
      <c r="Q427"/>
      <c r="R427"/>
      <c r="S427"/>
      <c r="T427"/>
    </row>
    <row r="428" spans="1:20" s="4" customFormat="1" x14ac:dyDescent="0.2">
      <c r="A428" s="12"/>
      <c r="B428" s="2"/>
      <c r="E428" s="2"/>
      <c r="F428" s="3"/>
      <c r="G428" s="3"/>
      <c r="H428" s="3"/>
      <c r="I428"/>
      <c r="J428" s="5"/>
      <c r="K428" s="1"/>
      <c r="L428" s="1"/>
      <c r="M428"/>
      <c r="N428" s="1"/>
      <c r="O428"/>
      <c r="P428"/>
      <c r="Q428"/>
      <c r="R428"/>
      <c r="S428"/>
      <c r="T428"/>
    </row>
    <row r="429" spans="1:20" s="4" customFormat="1" x14ac:dyDescent="0.2">
      <c r="A429" s="12"/>
      <c r="B429" s="2"/>
      <c r="E429" s="2"/>
      <c r="F429" s="3"/>
      <c r="G429" s="3"/>
      <c r="H429" s="3"/>
      <c r="I429"/>
      <c r="J429" s="5"/>
      <c r="K429" s="1"/>
      <c r="L429" s="1"/>
      <c r="M429"/>
      <c r="N429" s="1"/>
      <c r="O429"/>
      <c r="P429"/>
      <c r="Q429"/>
      <c r="R429"/>
      <c r="S429"/>
      <c r="T429"/>
    </row>
    <row r="430" spans="1:20" s="4" customFormat="1" x14ac:dyDescent="0.2">
      <c r="A430" s="12"/>
      <c r="B430" s="2"/>
      <c r="E430" s="2"/>
      <c r="F430" s="3"/>
      <c r="G430" s="3"/>
      <c r="H430" s="3"/>
      <c r="I430"/>
      <c r="J430" s="5"/>
      <c r="K430" s="1"/>
      <c r="L430" s="1"/>
      <c r="M430"/>
      <c r="N430" s="1"/>
      <c r="O430"/>
      <c r="P430"/>
      <c r="Q430"/>
      <c r="R430"/>
      <c r="S430"/>
      <c r="T430"/>
    </row>
    <row r="431" spans="1:20" s="4" customFormat="1" x14ac:dyDescent="0.2">
      <c r="A431" s="12"/>
      <c r="B431" s="2"/>
      <c r="E431" s="2"/>
      <c r="F431" s="3"/>
      <c r="G431" s="3"/>
      <c r="H431" s="3"/>
      <c r="I431"/>
      <c r="J431" s="5"/>
      <c r="K431" s="1"/>
      <c r="L431" s="1"/>
      <c r="M431"/>
      <c r="N431" s="1"/>
      <c r="O431"/>
      <c r="P431"/>
      <c r="Q431"/>
      <c r="R431"/>
      <c r="S431"/>
      <c r="T431"/>
    </row>
    <row r="432" spans="1:20" s="4" customFormat="1" x14ac:dyDescent="0.2">
      <c r="A432" s="12"/>
      <c r="B432" s="2"/>
      <c r="E432" s="2"/>
      <c r="F432" s="3"/>
      <c r="G432" s="3"/>
      <c r="H432" s="3"/>
      <c r="I432"/>
      <c r="J432" s="5"/>
      <c r="K432" s="1"/>
      <c r="L432" s="1"/>
      <c r="M432"/>
      <c r="N432" s="1"/>
      <c r="O432"/>
      <c r="P432"/>
      <c r="Q432"/>
      <c r="R432"/>
      <c r="S432"/>
      <c r="T432"/>
    </row>
    <row r="433" spans="1:20" s="4" customFormat="1" x14ac:dyDescent="0.2">
      <c r="A433" s="12"/>
      <c r="B433" s="2"/>
      <c r="E433" s="2"/>
      <c r="F433" s="3"/>
      <c r="G433" s="3"/>
      <c r="H433" s="3"/>
      <c r="I433"/>
      <c r="J433" s="5"/>
      <c r="K433" s="1"/>
      <c r="L433" s="1"/>
      <c r="M433"/>
      <c r="N433" s="1"/>
      <c r="O433"/>
      <c r="P433"/>
      <c r="Q433"/>
      <c r="R433"/>
      <c r="S433"/>
      <c r="T433"/>
    </row>
    <row r="434" spans="1:20" s="4" customFormat="1" x14ac:dyDescent="0.2">
      <c r="A434" s="12"/>
      <c r="B434" s="2"/>
      <c r="E434" s="2"/>
      <c r="F434" s="3"/>
      <c r="G434" s="3"/>
      <c r="H434" s="3"/>
      <c r="I434"/>
      <c r="J434" s="5"/>
      <c r="K434" s="1"/>
      <c r="L434" s="1"/>
      <c r="M434"/>
      <c r="N434" s="1"/>
      <c r="O434"/>
      <c r="P434"/>
      <c r="Q434"/>
      <c r="R434"/>
      <c r="S434"/>
      <c r="T434"/>
    </row>
    <row r="435" spans="1:20" s="4" customFormat="1" x14ac:dyDescent="0.2">
      <c r="A435" s="12"/>
      <c r="B435" s="2"/>
      <c r="E435" s="2"/>
      <c r="F435" s="3"/>
      <c r="G435" s="3"/>
      <c r="H435" s="3"/>
      <c r="I435"/>
      <c r="J435" s="5"/>
      <c r="K435" s="1"/>
      <c r="L435" s="1"/>
      <c r="M435"/>
      <c r="N435" s="1"/>
      <c r="O435"/>
      <c r="P435"/>
      <c r="Q435"/>
      <c r="R435"/>
      <c r="S435"/>
      <c r="T435"/>
    </row>
    <row r="436" spans="1:20" s="4" customFormat="1" x14ac:dyDescent="0.2">
      <c r="A436" s="12"/>
      <c r="B436" s="2"/>
      <c r="E436" s="2"/>
      <c r="F436" s="3"/>
      <c r="G436" s="3"/>
      <c r="H436" s="3"/>
      <c r="I436"/>
      <c r="J436" s="5"/>
      <c r="K436" s="1"/>
      <c r="L436" s="1"/>
      <c r="M436"/>
      <c r="N436" s="1"/>
      <c r="O436"/>
      <c r="P436"/>
      <c r="Q436"/>
      <c r="R436"/>
      <c r="S436"/>
      <c r="T436"/>
    </row>
    <row r="437" spans="1:20" s="4" customFormat="1" x14ac:dyDescent="0.2">
      <c r="A437" s="12"/>
      <c r="B437" s="2"/>
      <c r="E437" s="2"/>
      <c r="F437" s="3"/>
      <c r="G437" s="3"/>
      <c r="H437" s="3"/>
      <c r="I437"/>
      <c r="J437" s="5"/>
      <c r="K437" s="1"/>
      <c r="L437" s="1"/>
      <c r="M437"/>
      <c r="N437" s="1"/>
      <c r="O437"/>
      <c r="P437"/>
      <c r="Q437"/>
      <c r="R437"/>
      <c r="S437"/>
      <c r="T437"/>
    </row>
    <row r="438" spans="1:20" s="4" customFormat="1" x14ac:dyDescent="0.2">
      <c r="A438" s="12"/>
      <c r="B438" s="2"/>
      <c r="E438" s="2"/>
      <c r="F438" s="3"/>
      <c r="G438" s="3"/>
      <c r="H438" s="3"/>
      <c r="I438"/>
      <c r="J438" s="5"/>
      <c r="K438" s="1"/>
      <c r="L438" s="1"/>
      <c r="M438"/>
      <c r="N438" s="1"/>
      <c r="O438"/>
      <c r="P438"/>
      <c r="Q438"/>
      <c r="R438"/>
      <c r="S438"/>
      <c r="T438"/>
    </row>
    <row r="439" spans="1:20" s="4" customFormat="1" x14ac:dyDescent="0.2">
      <c r="A439" s="12"/>
      <c r="B439" s="2"/>
      <c r="E439" s="2"/>
      <c r="F439" s="3"/>
      <c r="G439" s="3"/>
      <c r="H439" s="3"/>
      <c r="I439"/>
      <c r="J439" s="5"/>
      <c r="K439" s="1"/>
      <c r="L439" s="1"/>
      <c r="M439"/>
      <c r="N439" s="1"/>
      <c r="O439"/>
      <c r="P439"/>
      <c r="Q439"/>
      <c r="R439"/>
      <c r="S439"/>
      <c r="T439"/>
    </row>
    <row r="440" spans="1:20" s="4" customFormat="1" x14ac:dyDescent="0.2">
      <c r="A440" s="12"/>
      <c r="B440" s="2"/>
      <c r="E440" s="2"/>
      <c r="F440" s="3"/>
      <c r="G440" s="3"/>
      <c r="H440" s="3"/>
      <c r="I440"/>
      <c r="J440" s="5"/>
      <c r="K440" s="1"/>
      <c r="L440" s="1"/>
      <c r="M440"/>
      <c r="N440" s="1"/>
      <c r="O440"/>
      <c r="P440"/>
      <c r="Q440"/>
      <c r="R440"/>
      <c r="S440"/>
      <c r="T440"/>
    </row>
    <row r="441" spans="1:20" s="4" customFormat="1" x14ac:dyDescent="0.2">
      <c r="A441" s="12"/>
      <c r="B441" s="2"/>
      <c r="E441" s="2"/>
      <c r="F441" s="3"/>
      <c r="G441" s="3"/>
      <c r="H441" s="3"/>
      <c r="I441"/>
      <c r="J441" s="5"/>
      <c r="K441" s="1"/>
      <c r="L441" s="1"/>
      <c r="M441"/>
      <c r="N441" s="1"/>
      <c r="O441"/>
      <c r="P441"/>
      <c r="Q441"/>
      <c r="R441"/>
      <c r="S441"/>
      <c r="T441"/>
    </row>
    <row r="442" spans="1:20" s="4" customFormat="1" x14ac:dyDescent="0.2">
      <c r="A442" s="12"/>
      <c r="B442" s="2"/>
      <c r="E442" s="2"/>
      <c r="F442" s="3"/>
      <c r="G442" s="3"/>
      <c r="H442" s="3"/>
      <c r="I442"/>
      <c r="J442" s="5"/>
      <c r="K442" s="1"/>
      <c r="L442" s="1"/>
      <c r="M442"/>
      <c r="N442" s="1"/>
      <c r="O442"/>
      <c r="P442"/>
      <c r="Q442"/>
      <c r="R442"/>
      <c r="S442"/>
      <c r="T442"/>
    </row>
    <row r="443" spans="1:20" s="4" customFormat="1" x14ac:dyDescent="0.2">
      <c r="A443" s="12"/>
      <c r="B443" s="2"/>
      <c r="E443" s="2"/>
      <c r="F443" s="3"/>
      <c r="G443" s="3"/>
      <c r="H443" s="3"/>
      <c r="I443"/>
      <c r="J443" s="5"/>
      <c r="K443" s="1"/>
      <c r="L443" s="1"/>
      <c r="M443"/>
      <c r="N443" s="1"/>
      <c r="O443"/>
      <c r="P443"/>
      <c r="Q443"/>
      <c r="R443"/>
      <c r="S443"/>
      <c r="T443"/>
    </row>
    <row r="444" spans="1:20" s="4" customFormat="1" x14ac:dyDescent="0.2">
      <c r="A444" s="12"/>
      <c r="B444" s="2"/>
      <c r="E444" s="2"/>
      <c r="F444" s="3"/>
      <c r="G444" s="3"/>
      <c r="H444" s="3"/>
      <c r="I444"/>
      <c r="J444" s="5"/>
      <c r="K444" s="1"/>
      <c r="L444" s="1"/>
      <c r="M444"/>
      <c r="N444" s="1"/>
      <c r="O444"/>
      <c r="P444"/>
      <c r="Q444"/>
      <c r="R444"/>
      <c r="S444"/>
      <c r="T444"/>
    </row>
    <row r="445" spans="1:20" s="4" customFormat="1" x14ac:dyDescent="0.2">
      <c r="A445" s="12"/>
      <c r="B445" s="2"/>
      <c r="E445" s="2"/>
      <c r="F445" s="3"/>
      <c r="G445" s="3"/>
      <c r="H445" s="3"/>
      <c r="I445"/>
      <c r="J445" s="5"/>
      <c r="K445" s="1"/>
      <c r="L445" s="1"/>
      <c r="M445"/>
      <c r="N445" s="1"/>
      <c r="O445"/>
      <c r="P445"/>
      <c r="Q445"/>
      <c r="R445"/>
      <c r="S445"/>
      <c r="T445"/>
    </row>
    <row r="446" spans="1:20" s="4" customFormat="1" x14ac:dyDescent="0.2">
      <c r="A446" s="12"/>
      <c r="B446" s="2"/>
      <c r="E446" s="2"/>
      <c r="F446" s="3"/>
      <c r="G446" s="3"/>
      <c r="H446" s="3"/>
      <c r="I446"/>
      <c r="J446" s="5"/>
      <c r="K446" s="1"/>
      <c r="L446" s="1"/>
      <c r="M446"/>
      <c r="N446" s="1"/>
      <c r="O446"/>
      <c r="P446"/>
      <c r="Q446"/>
      <c r="R446"/>
      <c r="S446"/>
      <c r="T446"/>
    </row>
    <row r="447" spans="1:20" s="4" customFormat="1" x14ac:dyDescent="0.2">
      <c r="A447" s="12"/>
      <c r="B447" s="2"/>
      <c r="E447" s="2"/>
      <c r="F447" s="3"/>
      <c r="G447" s="3"/>
      <c r="H447" s="3"/>
      <c r="I447"/>
      <c r="J447" s="5"/>
      <c r="K447" s="1"/>
      <c r="L447" s="1"/>
      <c r="M447"/>
      <c r="N447" s="1"/>
      <c r="O447"/>
      <c r="P447"/>
      <c r="Q447"/>
      <c r="R447"/>
      <c r="S447"/>
      <c r="T447"/>
    </row>
    <row r="448" spans="1:20" s="4" customFormat="1" x14ac:dyDescent="0.2">
      <c r="A448" s="12"/>
      <c r="B448" s="2"/>
      <c r="E448" s="2"/>
      <c r="F448" s="3"/>
      <c r="G448" s="3"/>
      <c r="H448" s="3"/>
      <c r="I448"/>
      <c r="J448" s="5"/>
      <c r="K448" s="1"/>
      <c r="L448" s="1"/>
      <c r="M448"/>
      <c r="N448" s="1"/>
      <c r="O448"/>
      <c r="P448"/>
      <c r="Q448"/>
      <c r="R448"/>
      <c r="S448"/>
      <c r="T448"/>
    </row>
    <row r="449" spans="1:20" s="4" customFormat="1" x14ac:dyDescent="0.2">
      <c r="A449" s="12"/>
      <c r="B449" s="2"/>
      <c r="E449" s="2"/>
      <c r="F449" s="3"/>
      <c r="G449" s="3"/>
      <c r="H449" s="3"/>
      <c r="I449"/>
      <c r="J449" s="5"/>
      <c r="K449" s="1"/>
      <c r="L449" s="1"/>
      <c r="M449"/>
      <c r="N449" s="1"/>
      <c r="O449"/>
      <c r="P449"/>
      <c r="Q449"/>
      <c r="R449"/>
      <c r="S449"/>
      <c r="T449"/>
    </row>
    <row r="450" spans="1:20" s="4" customFormat="1" x14ac:dyDescent="0.2">
      <c r="A450" s="12"/>
      <c r="B450" s="2"/>
      <c r="E450" s="2"/>
      <c r="F450" s="3"/>
      <c r="G450" s="3"/>
      <c r="H450" s="3"/>
      <c r="I450"/>
      <c r="J450" s="5"/>
      <c r="K450" s="1"/>
      <c r="L450" s="1"/>
      <c r="M450"/>
      <c r="N450" s="1"/>
      <c r="O450"/>
      <c r="P450"/>
      <c r="Q450"/>
      <c r="R450"/>
      <c r="S450"/>
      <c r="T450"/>
    </row>
    <row r="451" spans="1:20" s="4" customFormat="1" x14ac:dyDescent="0.2">
      <c r="A451" s="12"/>
      <c r="B451" s="2"/>
      <c r="E451" s="2"/>
      <c r="F451" s="3"/>
      <c r="G451" s="3"/>
      <c r="H451" s="3"/>
      <c r="I451"/>
      <c r="J451" s="5"/>
      <c r="K451" s="1"/>
      <c r="L451" s="1"/>
      <c r="M451"/>
      <c r="N451" s="1"/>
      <c r="O451"/>
      <c r="P451"/>
      <c r="Q451"/>
      <c r="R451"/>
      <c r="S451"/>
      <c r="T451"/>
    </row>
    <row r="452" spans="1:20" s="4" customFormat="1" x14ac:dyDescent="0.2">
      <c r="A452" s="12"/>
      <c r="B452" s="2"/>
      <c r="E452" s="2"/>
      <c r="F452" s="3"/>
      <c r="G452" s="3"/>
      <c r="H452" s="3"/>
      <c r="I452"/>
      <c r="J452" s="5"/>
      <c r="K452" s="1"/>
      <c r="L452" s="1"/>
      <c r="M452"/>
      <c r="N452" s="1"/>
      <c r="O452"/>
      <c r="P452"/>
      <c r="Q452"/>
      <c r="R452"/>
      <c r="S452"/>
      <c r="T452"/>
    </row>
    <row r="453" spans="1:20" s="4" customFormat="1" x14ac:dyDescent="0.2">
      <c r="A453" s="12"/>
      <c r="B453" s="2"/>
      <c r="E453" s="2"/>
      <c r="F453" s="3"/>
      <c r="G453" s="3"/>
      <c r="H453" s="3"/>
      <c r="I453"/>
      <c r="J453" s="5"/>
      <c r="K453" s="1"/>
      <c r="L453" s="1"/>
      <c r="M453"/>
      <c r="N453" s="1"/>
      <c r="O453"/>
      <c r="P453"/>
      <c r="Q453"/>
      <c r="R453"/>
      <c r="S453"/>
      <c r="T453"/>
    </row>
    <row r="454" spans="1:20" s="4" customFormat="1" x14ac:dyDescent="0.2">
      <c r="A454" s="12"/>
      <c r="B454" s="2"/>
      <c r="E454" s="2"/>
      <c r="F454" s="3"/>
      <c r="G454" s="3"/>
      <c r="H454" s="3"/>
      <c r="I454"/>
      <c r="J454" s="5"/>
      <c r="K454" s="1"/>
      <c r="L454" s="1"/>
      <c r="M454"/>
      <c r="N454" s="1"/>
      <c r="O454"/>
      <c r="P454"/>
      <c r="Q454"/>
      <c r="R454"/>
      <c r="S454"/>
      <c r="T454"/>
    </row>
    <row r="455" spans="1:20" s="4" customFormat="1" x14ac:dyDescent="0.2">
      <c r="A455" s="12"/>
      <c r="B455" s="2"/>
      <c r="E455" s="2"/>
      <c r="F455" s="3"/>
      <c r="G455" s="3"/>
      <c r="H455" s="3"/>
      <c r="I455"/>
      <c r="J455" s="5"/>
      <c r="K455" s="1"/>
      <c r="L455" s="1"/>
      <c r="M455"/>
      <c r="N455" s="1"/>
      <c r="O455"/>
      <c r="P455"/>
      <c r="Q455"/>
      <c r="R455"/>
      <c r="S455"/>
      <c r="T455"/>
    </row>
    <row r="456" spans="1:20" s="4" customFormat="1" x14ac:dyDescent="0.2">
      <c r="A456" s="12"/>
      <c r="B456" s="2"/>
      <c r="E456" s="2"/>
      <c r="F456" s="3"/>
      <c r="G456" s="3"/>
      <c r="H456" s="3"/>
      <c r="I456"/>
      <c r="J456" s="5"/>
      <c r="K456" s="1"/>
      <c r="L456" s="1"/>
      <c r="M456"/>
      <c r="N456" s="1"/>
      <c r="O456"/>
      <c r="P456"/>
      <c r="Q456"/>
      <c r="R456"/>
      <c r="S456"/>
      <c r="T456"/>
    </row>
    <row r="457" spans="1:20" s="4" customFormat="1" x14ac:dyDescent="0.2">
      <c r="A457" s="12"/>
      <c r="B457" s="2"/>
      <c r="E457" s="2"/>
      <c r="F457" s="3"/>
      <c r="G457" s="3"/>
      <c r="H457" s="3"/>
      <c r="I457"/>
      <c r="J457" s="5"/>
      <c r="K457" s="1"/>
      <c r="L457" s="1"/>
      <c r="M457"/>
      <c r="N457" s="1"/>
      <c r="O457"/>
      <c r="P457"/>
      <c r="Q457"/>
      <c r="R457"/>
      <c r="S457"/>
      <c r="T457"/>
    </row>
    <row r="458" spans="1:20" s="4" customFormat="1" x14ac:dyDescent="0.2">
      <c r="A458" s="12"/>
      <c r="B458" s="2"/>
      <c r="E458" s="2"/>
      <c r="F458" s="3"/>
      <c r="G458" s="3"/>
      <c r="H458" s="3"/>
      <c r="I458"/>
      <c r="J458" s="5"/>
      <c r="K458" s="1"/>
      <c r="L458" s="1"/>
      <c r="M458"/>
      <c r="N458" s="1"/>
      <c r="O458"/>
      <c r="P458"/>
      <c r="Q458"/>
      <c r="R458"/>
      <c r="S458"/>
      <c r="T458"/>
    </row>
    <row r="459" spans="1:20" s="4" customFormat="1" x14ac:dyDescent="0.2">
      <c r="A459" s="12"/>
      <c r="B459" s="2"/>
      <c r="E459" s="2"/>
      <c r="F459" s="3"/>
      <c r="G459" s="3"/>
      <c r="H459" s="3"/>
      <c r="I459"/>
      <c r="J459" s="5"/>
      <c r="K459" s="1"/>
      <c r="L459" s="1"/>
      <c r="M459"/>
      <c r="N459" s="1"/>
      <c r="O459"/>
      <c r="P459"/>
      <c r="Q459"/>
      <c r="R459"/>
      <c r="S459"/>
      <c r="T459"/>
    </row>
  </sheetData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FY2017
SUMMARY REPORT
BY VENDOR
As of June 30, 2017&amp;RRun Date: &amp;D      &amp;T     
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8"/>
  <sheetViews>
    <sheetView tabSelected="1" zoomScaleNormal="100" workbookViewId="0">
      <pane xSplit="2" ySplit="1" topLeftCell="C398" activePane="bottomRight" state="frozen"/>
      <selection pane="topRight" activeCell="B1" sqref="B1"/>
      <selection pane="bottomLeft" activeCell="A2" sqref="A2"/>
      <selection pane="bottomRight" activeCell="F413" sqref="F413"/>
    </sheetView>
  </sheetViews>
  <sheetFormatPr defaultRowHeight="12.75" x14ac:dyDescent="0.2"/>
  <cols>
    <col min="1" max="1" width="3.28515625" style="1" hidden="1" customWidth="1"/>
    <col min="2" max="2" width="8.140625" style="12" customWidth="1"/>
    <col min="3" max="3" width="25" style="2" customWidth="1"/>
    <col min="4" max="4" width="23.140625" customWidth="1"/>
    <col min="5" max="5" width="12.140625" style="4" customWidth="1"/>
    <col min="6" max="6" width="58.42578125" style="2" customWidth="1"/>
    <col min="7" max="7" width="11.85546875" style="3" customWidth="1"/>
    <col min="8" max="8" width="13.140625" style="3" customWidth="1"/>
  </cols>
  <sheetData>
    <row r="1" spans="1:8" ht="24" x14ac:dyDescent="0.2">
      <c r="B1" s="13" t="s">
        <v>0</v>
      </c>
      <c r="C1" s="10" t="s">
        <v>6</v>
      </c>
      <c r="D1" s="10" t="s">
        <v>7</v>
      </c>
      <c r="E1" s="10" t="s">
        <v>12</v>
      </c>
      <c r="F1" s="10" t="s">
        <v>8</v>
      </c>
      <c r="G1" s="6" t="s">
        <v>9</v>
      </c>
      <c r="H1" s="6" t="s">
        <v>10</v>
      </c>
    </row>
    <row r="2" spans="1:8" ht="26.1" customHeight="1" x14ac:dyDescent="0.2">
      <c r="A2" s="1" t="s">
        <v>1193</v>
      </c>
      <c r="B2" s="43" t="s">
        <v>300</v>
      </c>
      <c r="C2" s="46" t="s">
        <v>62</v>
      </c>
      <c r="D2" s="44" t="s">
        <v>72</v>
      </c>
      <c r="E2" s="54" t="s">
        <v>321</v>
      </c>
      <c r="F2" s="46" t="s">
        <v>73</v>
      </c>
      <c r="G2" s="35">
        <v>391</v>
      </c>
      <c r="H2" s="35">
        <v>14324</v>
      </c>
    </row>
    <row r="3" spans="1:8" s="15" customFormat="1" ht="26.1" customHeight="1" x14ac:dyDescent="0.2">
      <c r="A3" s="1" t="s">
        <v>1193</v>
      </c>
      <c r="B3" s="43" t="s">
        <v>1002</v>
      </c>
      <c r="C3" s="46" t="s">
        <v>21</v>
      </c>
      <c r="D3" s="44" t="s">
        <v>612</v>
      </c>
      <c r="E3" s="47">
        <v>14467</v>
      </c>
      <c r="F3" s="46" t="s">
        <v>1008</v>
      </c>
      <c r="G3" s="35">
        <v>2485</v>
      </c>
      <c r="H3" s="35">
        <v>95000</v>
      </c>
    </row>
    <row r="4" spans="1:8" s="15" customFormat="1" ht="26.1" customHeight="1" x14ac:dyDescent="0.2">
      <c r="A4" s="1" t="s">
        <v>1193</v>
      </c>
      <c r="B4" s="43" t="s">
        <v>757</v>
      </c>
      <c r="C4" s="46" t="s">
        <v>19</v>
      </c>
      <c r="D4" s="44" t="s">
        <v>771</v>
      </c>
      <c r="E4" s="54" t="s">
        <v>778</v>
      </c>
      <c r="F4" s="46" t="s">
        <v>782</v>
      </c>
      <c r="G4" s="35">
        <v>3050</v>
      </c>
      <c r="H4" s="35">
        <v>7084</v>
      </c>
    </row>
    <row r="5" spans="1:8" s="15" customFormat="1" ht="26.1" customHeight="1" x14ac:dyDescent="0.2">
      <c r="A5" s="1" t="s">
        <v>1193</v>
      </c>
      <c r="B5" s="43" t="s">
        <v>943</v>
      </c>
      <c r="C5" s="46" t="s">
        <v>19</v>
      </c>
      <c r="D5" s="44" t="s">
        <v>59</v>
      </c>
      <c r="E5" s="47">
        <v>14366</v>
      </c>
      <c r="F5" s="46" t="s">
        <v>297</v>
      </c>
      <c r="G5" s="35">
        <v>3941</v>
      </c>
      <c r="H5" s="35">
        <v>73431</v>
      </c>
    </row>
    <row r="6" spans="1:8" s="15" customFormat="1" ht="26.1" customHeight="1" x14ac:dyDescent="0.2">
      <c r="A6" s="1" t="s">
        <v>1193</v>
      </c>
      <c r="B6" s="43" t="s">
        <v>878</v>
      </c>
      <c r="C6" s="46" t="s">
        <v>19</v>
      </c>
      <c r="D6" s="44" t="s">
        <v>46</v>
      </c>
      <c r="E6" s="47">
        <v>14195</v>
      </c>
      <c r="F6" s="46" t="s">
        <v>885</v>
      </c>
      <c r="G6" s="35">
        <v>4647</v>
      </c>
      <c r="H6" s="35">
        <v>20000</v>
      </c>
    </row>
    <row r="7" spans="1:8" s="15" customFormat="1" ht="26.1" customHeight="1" x14ac:dyDescent="0.2">
      <c r="A7" s="1" t="s">
        <v>1193</v>
      </c>
      <c r="B7" s="43" t="s">
        <v>239</v>
      </c>
      <c r="C7" s="46" t="s">
        <v>62</v>
      </c>
      <c r="D7" s="44" t="s">
        <v>260</v>
      </c>
      <c r="E7" s="47">
        <v>13123</v>
      </c>
      <c r="F7" s="46" t="s">
        <v>275</v>
      </c>
      <c r="G7" s="35">
        <v>5000</v>
      </c>
      <c r="H7" s="35">
        <v>4800</v>
      </c>
    </row>
    <row r="8" spans="1:8" s="15" customFormat="1" ht="26.1" customHeight="1" x14ac:dyDescent="0.2">
      <c r="A8" s="1" t="s">
        <v>1193</v>
      </c>
      <c r="B8" s="43" t="s">
        <v>688</v>
      </c>
      <c r="C8" s="46" t="s">
        <v>17</v>
      </c>
      <c r="D8" s="44" t="s">
        <v>693</v>
      </c>
      <c r="E8" s="54" t="s">
        <v>696</v>
      </c>
      <c r="F8" s="46" t="s">
        <v>699</v>
      </c>
      <c r="G8" s="35">
        <v>5000</v>
      </c>
      <c r="H8" s="35">
        <v>25000</v>
      </c>
    </row>
    <row r="9" spans="1:8" s="15" customFormat="1" ht="26.1" customHeight="1" x14ac:dyDescent="0.2">
      <c r="A9" s="1" t="s">
        <v>1193</v>
      </c>
      <c r="B9" s="43" t="s">
        <v>1158</v>
      </c>
      <c r="C9" s="46" t="s">
        <v>20</v>
      </c>
      <c r="D9" s="44" t="s">
        <v>74</v>
      </c>
      <c r="E9" s="54" t="s">
        <v>1167</v>
      </c>
      <c r="F9" s="46" t="s">
        <v>1169</v>
      </c>
      <c r="G9" s="35">
        <v>5000</v>
      </c>
      <c r="H9" s="35">
        <v>15000</v>
      </c>
    </row>
    <row r="10" spans="1:8" s="15" customFormat="1" ht="26.1" customHeight="1" x14ac:dyDescent="0.2">
      <c r="A10" s="1" t="s">
        <v>1193</v>
      </c>
      <c r="B10" s="43" t="s">
        <v>156</v>
      </c>
      <c r="C10" s="46" t="s">
        <v>26</v>
      </c>
      <c r="D10" s="44" t="s">
        <v>167</v>
      </c>
      <c r="E10" s="47">
        <v>12778</v>
      </c>
      <c r="F10" s="46" t="s">
        <v>173</v>
      </c>
      <c r="G10" s="35">
        <v>5200</v>
      </c>
      <c r="H10" s="35">
        <v>5200</v>
      </c>
    </row>
    <row r="11" spans="1:8" s="15" customFormat="1" ht="26.1" customHeight="1" x14ac:dyDescent="0.2">
      <c r="A11" s="1" t="s">
        <v>1193</v>
      </c>
      <c r="B11" s="43" t="s">
        <v>419</v>
      </c>
      <c r="C11" s="46" t="s">
        <v>19</v>
      </c>
      <c r="D11" s="44" t="s">
        <v>426</v>
      </c>
      <c r="E11" s="47">
        <v>13484</v>
      </c>
      <c r="F11" s="46" t="s">
        <v>432</v>
      </c>
      <c r="G11" s="35">
        <v>5293</v>
      </c>
      <c r="H11" s="35">
        <v>5293</v>
      </c>
    </row>
    <row r="12" spans="1:8" s="15" customFormat="1" ht="26.1" customHeight="1" x14ac:dyDescent="0.2">
      <c r="A12" s="1" t="s">
        <v>1193</v>
      </c>
      <c r="B12" s="43" t="s">
        <v>162</v>
      </c>
      <c r="C12" s="46" t="s">
        <v>166</v>
      </c>
      <c r="D12" s="44" t="s">
        <v>171</v>
      </c>
      <c r="E12" s="47">
        <v>13051</v>
      </c>
      <c r="F12" s="46" t="s">
        <v>180</v>
      </c>
      <c r="G12" s="49">
        <v>5700</v>
      </c>
      <c r="H12" s="50">
        <v>5700</v>
      </c>
    </row>
    <row r="13" spans="1:8" s="15" customFormat="1" ht="26.1" customHeight="1" x14ac:dyDescent="0.2">
      <c r="A13" s="1" t="s">
        <v>1193</v>
      </c>
      <c r="B13" s="43" t="s">
        <v>760</v>
      </c>
      <c r="C13" s="46" t="s">
        <v>19</v>
      </c>
      <c r="D13" s="44" t="s">
        <v>773</v>
      </c>
      <c r="E13" s="47">
        <v>14036</v>
      </c>
      <c r="F13" s="46" t="s">
        <v>785</v>
      </c>
      <c r="G13" s="35">
        <v>5855</v>
      </c>
      <c r="H13" s="35">
        <v>5855</v>
      </c>
    </row>
    <row r="14" spans="1:8" s="15" customFormat="1" ht="26.1" customHeight="1" x14ac:dyDescent="0.2">
      <c r="A14" s="1" t="s">
        <v>1193</v>
      </c>
      <c r="B14" s="43" t="s">
        <v>920</v>
      </c>
      <c r="C14" s="46" t="s">
        <v>21</v>
      </c>
      <c r="D14" s="44" t="s">
        <v>924</v>
      </c>
      <c r="E14" s="47">
        <v>14445</v>
      </c>
      <c r="F14" s="46" t="s">
        <v>927</v>
      </c>
      <c r="G14" s="35">
        <v>5895</v>
      </c>
      <c r="H14" s="35">
        <v>5895</v>
      </c>
    </row>
    <row r="15" spans="1:8" s="15" customFormat="1" ht="26.1" customHeight="1" x14ac:dyDescent="0.2">
      <c r="A15" s="1" t="s">
        <v>1193</v>
      </c>
      <c r="B15" s="43" t="s">
        <v>469</v>
      </c>
      <c r="C15" s="46" t="s">
        <v>21</v>
      </c>
      <c r="D15" s="44" t="s">
        <v>481</v>
      </c>
      <c r="E15" s="47">
        <v>13517</v>
      </c>
      <c r="F15" s="46" t="s">
        <v>495</v>
      </c>
      <c r="G15" s="35">
        <v>6000</v>
      </c>
      <c r="H15" s="35">
        <v>6000</v>
      </c>
    </row>
    <row r="16" spans="1:8" s="15" customFormat="1" ht="26.1" customHeight="1" x14ac:dyDescent="0.2">
      <c r="A16" s="1" t="s">
        <v>1193</v>
      </c>
      <c r="B16" s="43" t="s">
        <v>712</v>
      </c>
      <c r="C16" s="46" t="s">
        <v>19</v>
      </c>
      <c r="D16" s="44" t="s">
        <v>719</v>
      </c>
      <c r="E16" s="47">
        <v>13946</v>
      </c>
      <c r="F16" s="46" t="s">
        <v>729</v>
      </c>
      <c r="G16" s="35">
        <v>6000</v>
      </c>
      <c r="H16" s="35">
        <v>6000</v>
      </c>
    </row>
    <row r="17" spans="1:8" s="15" customFormat="1" ht="26.1" customHeight="1" x14ac:dyDescent="0.2">
      <c r="A17" s="1" t="s">
        <v>1193</v>
      </c>
      <c r="B17" s="43" t="s">
        <v>911</v>
      </c>
      <c r="C17" s="46" t="s">
        <v>92</v>
      </c>
      <c r="D17" s="44" t="s">
        <v>913</v>
      </c>
      <c r="E17" s="54" t="s">
        <v>914</v>
      </c>
      <c r="F17" s="46" t="s">
        <v>915</v>
      </c>
      <c r="G17" s="35">
        <v>6000</v>
      </c>
      <c r="H17" s="35">
        <v>90000</v>
      </c>
    </row>
    <row r="18" spans="1:8" s="15" customFormat="1" ht="26.1" customHeight="1" x14ac:dyDescent="0.2">
      <c r="A18" s="1" t="s">
        <v>1193</v>
      </c>
      <c r="B18" s="43" t="s">
        <v>979</v>
      </c>
      <c r="C18" s="46" t="s">
        <v>19</v>
      </c>
      <c r="D18" s="44" t="s">
        <v>317</v>
      </c>
      <c r="E18" s="54" t="s">
        <v>991</v>
      </c>
      <c r="F18" s="46" t="s">
        <v>1000</v>
      </c>
      <c r="G18" s="35">
        <v>6000</v>
      </c>
      <c r="H18" s="35">
        <v>16331</v>
      </c>
    </row>
    <row r="19" spans="1:8" s="15" customFormat="1" ht="26.1" customHeight="1" x14ac:dyDescent="0.2">
      <c r="A19" s="1" t="s">
        <v>1193</v>
      </c>
      <c r="B19" s="43" t="s">
        <v>755</v>
      </c>
      <c r="C19" s="46" t="s">
        <v>766</v>
      </c>
      <c r="D19" s="44" t="s">
        <v>769</v>
      </c>
      <c r="E19" s="47">
        <v>13952</v>
      </c>
      <c r="F19" s="46" t="s">
        <v>780</v>
      </c>
      <c r="G19" s="35">
        <v>6250</v>
      </c>
      <c r="H19" s="35">
        <v>6250</v>
      </c>
    </row>
    <row r="20" spans="1:8" s="15" customFormat="1" ht="26.1" customHeight="1" x14ac:dyDescent="0.2">
      <c r="A20" s="1" t="s">
        <v>1193</v>
      </c>
      <c r="B20" s="43" t="s">
        <v>763</v>
      </c>
      <c r="C20" s="46" t="s">
        <v>92</v>
      </c>
      <c r="D20" s="44" t="s">
        <v>82</v>
      </c>
      <c r="E20" s="47">
        <v>14062</v>
      </c>
      <c r="F20" s="46" t="s">
        <v>788</v>
      </c>
      <c r="G20" s="35">
        <v>6275</v>
      </c>
      <c r="H20" s="35">
        <v>6275</v>
      </c>
    </row>
    <row r="21" spans="1:8" s="15" customFormat="1" ht="26.1" customHeight="1" x14ac:dyDescent="0.2">
      <c r="A21" s="1" t="s">
        <v>1193</v>
      </c>
      <c r="B21" s="43" t="s">
        <v>459</v>
      </c>
      <c r="C21" s="46" t="s">
        <v>19</v>
      </c>
      <c r="D21" s="44" t="s">
        <v>34</v>
      </c>
      <c r="E21" s="47">
        <v>13615</v>
      </c>
      <c r="F21" s="46" t="s">
        <v>486</v>
      </c>
      <c r="G21" s="35">
        <v>6485</v>
      </c>
      <c r="H21" s="35">
        <v>6485</v>
      </c>
    </row>
    <row r="22" spans="1:8" s="15" customFormat="1" ht="26.1" customHeight="1" x14ac:dyDescent="0.2">
      <c r="A22" s="1" t="s">
        <v>1193</v>
      </c>
      <c r="B22" s="43" t="s">
        <v>462</v>
      </c>
      <c r="C22" s="46" t="s">
        <v>19</v>
      </c>
      <c r="D22" s="44" t="s">
        <v>477</v>
      </c>
      <c r="E22" s="47">
        <v>13570</v>
      </c>
      <c r="F22" s="46" t="s">
        <v>489</v>
      </c>
      <c r="G22" s="35">
        <v>6621</v>
      </c>
      <c r="H22" s="35">
        <v>6621</v>
      </c>
    </row>
    <row r="23" spans="1:8" s="15" customFormat="1" ht="26.1" customHeight="1" x14ac:dyDescent="0.2">
      <c r="A23" s="1" t="s">
        <v>1193</v>
      </c>
      <c r="B23" s="43" t="s">
        <v>974</v>
      </c>
      <c r="C23" s="46" t="s">
        <v>21</v>
      </c>
      <c r="D23" s="44" t="s">
        <v>984</v>
      </c>
      <c r="E23" s="47">
        <v>14381</v>
      </c>
      <c r="F23" s="46" t="s">
        <v>995</v>
      </c>
      <c r="G23" s="35">
        <v>6636</v>
      </c>
      <c r="H23" s="35">
        <v>6636</v>
      </c>
    </row>
    <row r="24" spans="1:8" s="15" customFormat="1" ht="26.1" customHeight="1" x14ac:dyDescent="0.2">
      <c r="A24" s="1" t="s">
        <v>1193</v>
      </c>
      <c r="B24" s="43" t="s">
        <v>623</v>
      </c>
      <c r="C24" s="46" t="s">
        <v>19</v>
      </c>
      <c r="D24" s="44" t="s">
        <v>34</v>
      </c>
      <c r="E24" s="47">
        <v>13764</v>
      </c>
      <c r="F24" s="46" t="s">
        <v>659</v>
      </c>
      <c r="G24" s="35">
        <v>6700</v>
      </c>
      <c r="H24" s="35">
        <v>6700</v>
      </c>
    </row>
    <row r="25" spans="1:8" s="15" customFormat="1" ht="26.1" customHeight="1" x14ac:dyDescent="0.2">
      <c r="A25" s="1" t="s">
        <v>1193</v>
      </c>
      <c r="B25" s="43" t="s">
        <v>467</v>
      </c>
      <c r="C25" s="46" t="s">
        <v>92</v>
      </c>
      <c r="D25" s="44" t="s">
        <v>43</v>
      </c>
      <c r="E25" s="47">
        <v>13538</v>
      </c>
      <c r="F25" s="46" t="s">
        <v>493</v>
      </c>
      <c r="G25" s="35">
        <v>6713</v>
      </c>
      <c r="H25" s="35">
        <v>6713</v>
      </c>
    </row>
    <row r="26" spans="1:8" s="15" customFormat="1" ht="26.1" customHeight="1" x14ac:dyDescent="0.2">
      <c r="A26" s="1" t="s">
        <v>1193</v>
      </c>
      <c r="B26" s="43" t="s">
        <v>932</v>
      </c>
      <c r="C26" s="46" t="s">
        <v>21</v>
      </c>
      <c r="D26" s="44" t="s">
        <v>948</v>
      </c>
      <c r="E26" s="47">
        <v>14363</v>
      </c>
      <c r="F26" s="46" t="s">
        <v>951</v>
      </c>
      <c r="G26" s="35">
        <v>6820</v>
      </c>
      <c r="H26" s="35">
        <v>6820</v>
      </c>
    </row>
    <row r="27" spans="1:8" s="15" customFormat="1" ht="26.1" customHeight="1" x14ac:dyDescent="0.2">
      <c r="A27" s="1" t="s">
        <v>1193</v>
      </c>
      <c r="B27" s="43" t="s">
        <v>522</v>
      </c>
      <c r="C27" s="46" t="s">
        <v>31</v>
      </c>
      <c r="D27" s="44" t="s">
        <v>530</v>
      </c>
      <c r="E27" s="47">
        <v>13638</v>
      </c>
      <c r="F27" s="46" t="s">
        <v>537</v>
      </c>
      <c r="G27" s="35">
        <v>7000</v>
      </c>
      <c r="H27" s="35">
        <v>7000</v>
      </c>
    </row>
    <row r="28" spans="1:8" s="15" customFormat="1" ht="26.1" customHeight="1" x14ac:dyDescent="0.2">
      <c r="A28" s="1" t="s">
        <v>1193</v>
      </c>
      <c r="B28" s="43" t="s">
        <v>117</v>
      </c>
      <c r="C28" s="46" t="s">
        <v>19</v>
      </c>
      <c r="D28" s="44" t="s">
        <v>130</v>
      </c>
      <c r="E28" s="47">
        <v>12920</v>
      </c>
      <c r="F28" s="46" t="s">
        <v>149</v>
      </c>
      <c r="G28" s="35">
        <v>7100</v>
      </c>
      <c r="H28" s="35">
        <v>7100</v>
      </c>
    </row>
    <row r="29" spans="1:8" s="15" customFormat="1" ht="26.1" customHeight="1" x14ac:dyDescent="0.2">
      <c r="A29" s="1" t="s">
        <v>1193</v>
      </c>
      <c r="B29" s="43" t="s">
        <v>116</v>
      </c>
      <c r="C29" s="46" t="s">
        <v>19</v>
      </c>
      <c r="D29" s="44" t="s">
        <v>129</v>
      </c>
      <c r="E29" s="47">
        <v>12918</v>
      </c>
      <c r="F29" s="46" t="s">
        <v>148</v>
      </c>
      <c r="G29" s="35">
        <v>7125</v>
      </c>
      <c r="H29" s="35">
        <v>7125</v>
      </c>
    </row>
    <row r="30" spans="1:8" s="15" customFormat="1" ht="26.1" customHeight="1" x14ac:dyDescent="0.2">
      <c r="A30" s="1" t="s">
        <v>1193</v>
      </c>
      <c r="B30" s="43" t="s">
        <v>107</v>
      </c>
      <c r="C30" s="46" t="s">
        <v>92</v>
      </c>
      <c r="D30" s="44" t="s">
        <v>43</v>
      </c>
      <c r="E30" s="47">
        <v>12881</v>
      </c>
      <c r="F30" s="46" t="s">
        <v>137</v>
      </c>
      <c r="G30" s="35">
        <v>7213</v>
      </c>
      <c r="H30" s="40">
        <v>7213</v>
      </c>
    </row>
    <row r="31" spans="1:8" s="15" customFormat="1" ht="26.1" customHeight="1" x14ac:dyDescent="0.2">
      <c r="A31" s="1" t="s">
        <v>1193</v>
      </c>
      <c r="B31" s="43" t="s">
        <v>466</v>
      </c>
      <c r="C31" s="46" t="s">
        <v>92</v>
      </c>
      <c r="D31" s="44" t="s">
        <v>479</v>
      </c>
      <c r="E31" s="47">
        <v>13552</v>
      </c>
      <c r="F31" s="46" t="s">
        <v>492</v>
      </c>
      <c r="G31" s="35">
        <v>7230</v>
      </c>
      <c r="H31" s="35">
        <v>7230</v>
      </c>
    </row>
    <row r="32" spans="1:8" s="15" customFormat="1" ht="26.1" customHeight="1" x14ac:dyDescent="0.2">
      <c r="A32" s="1" t="s">
        <v>1193</v>
      </c>
      <c r="B32" s="43" t="s">
        <v>758</v>
      </c>
      <c r="C32" s="46" t="s">
        <v>92</v>
      </c>
      <c r="D32" s="44" t="s">
        <v>479</v>
      </c>
      <c r="E32" s="47">
        <v>14016</v>
      </c>
      <c r="F32" s="46" t="s">
        <v>783</v>
      </c>
      <c r="G32" s="35">
        <v>7230</v>
      </c>
      <c r="H32" s="35">
        <v>7230</v>
      </c>
    </row>
    <row r="33" spans="1:8" s="15" customFormat="1" ht="26.1" customHeight="1" x14ac:dyDescent="0.2">
      <c r="A33" s="1" t="s">
        <v>1193</v>
      </c>
      <c r="B33" s="43" t="s">
        <v>765</v>
      </c>
      <c r="C33" s="46" t="s">
        <v>767</v>
      </c>
      <c r="D33" s="44" t="s">
        <v>776</v>
      </c>
      <c r="E33" s="47">
        <v>14068</v>
      </c>
      <c r="F33" s="46" t="s">
        <v>791</v>
      </c>
      <c r="G33" s="35">
        <v>7500</v>
      </c>
      <c r="H33" s="35">
        <v>7500</v>
      </c>
    </row>
    <row r="34" spans="1:8" s="15" customFormat="1" ht="26.1" customHeight="1" x14ac:dyDescent="0.2">
      <c r="A34" s="1" t="s">
        <v>1193</v>
      </c>
      <c r="B34" s="43" t="s">
        <v>930</v>
      </c>
      <c r="C34" s="46" t="s">
        <v>214</v>
      </c>
      <c r="D34" s="44" t="s">
        <v>534</v>
      </c>
      <c r="E34" s="47">
        <v>14084</v>
      </c>
      <c r="F34" s="46" t="s">
        <v>949</v>
      </c>
      <c r="G34" s="35">
        <v>7500</v>
      </c>
      <c r="H34" s="35">
        <v>7500</v>
      </c>
    </row>
    <row r="35" spans="1:8" s="15" customFormat="1" ht="26.1" customHeight="1" x14ac:dyDescent="0.2">
      <c r="A35" s="1" t="s">
        <v>1193</v>
      </c>
      <c r="B35" s="43" t="s">
        <v>248</v>
      </c>
      <c r="C35" s="46" t="s">
        <v>21</v>
      </c>
      <c r="D35" s="44" t="s">
        <v>266</v>
      </c>
      <c r="E35" s="47">
        <v>13222</v>
      </c>
      <c r="F35" s="46" t="s">
        <v>282</v>
      </c>
      <c r="G35" s="35">
        <v>7587</v>
      </c>
      <c r="H35" s="35">
        <v>7587</v>
      </c>
    </row>
    <row r="36" spans="1:8" s="15" customFormat="1" ht="26.1" customHeight="1" x14ac:dyDescent="0.2">
      <c r="A36" s="1" t="s">
        <v>1193</v>
      </c>
      <c r="B36" s="43" t="s">
        <v>246</v>
      </c>
      <c r="C36" s="46" t="s">
        <v>92</v>
      </c>
      <c r="D36" s="44" t="s">
        <v>29</v>
      </c>
      <c r="E36" s="47">
        <v>13205</v>
      </c>
      <c r="F36" s="46" t="s">
        <v>281</v>
      </c>
      <c r="G36" s="35">
        <v>7669</v>
      </c>
      <c r="H36" s="35">
        <v>7669</v>
      </c>
    </row>
    <row r="37" spans="1:8" s="15" customFormat="1" ht="26.1" customHeight="1" x14ac:dyDescent="0.2">
      <c r="A37" s="1" t="s">
        <v>1193</v>
      </c>
      <c r="B37" s="43" t="s">
        <v>103</v>
      </c>
      <c r="C37" s="46" t="s">
        <v>21</v>
      </c>
      <c r="D37" s="44" t="s">
        <v>77</v>
      </c>
      <c r="E37" s="47">
        <v>12612</v>
      </c>
      <c r="F37" s="46" t="s">
        <v>136</v>
      </c>
      <c r="G37" s="35">
        <v>7674</v>
      </c>
      <c r="H37" s="35">
        <v>7674</v>
      </c>
    </row>
    <row r="38" spans="1:8" s="15" customFormat="1" ht="26.1" customHeight="1" x14ac:dyDescent="0.2">
      <c r="A38" s="1" t="s">
        <v>1193</v>
      </c>
      <c r="B38" s="43" t="s">
        <v>1119</v>
      </c>
      <c r="C38" s="46" t="s">
        <v>92</v>
      </c>
      <c r="D38" s="44" t="s">
        <v>1124</v>
      </c>
      <c r="E38" s="47">
        <v>14743</v>
      </c>
      <c r="F38" s="46" t="s">
        <v>1129</v>
      </c>
      <c r="G38" s="35">
        <v>8000</v>
      </c>
      <c r="H38" s="35">
        <v>8000</v>
      </c>
    </row>
    <row r="39" spans="1:8" s="15" customFormat="1" ht="26.1" customHeight="1" x14ac:dyDescent="0.2">
      <c r="A39" s="1" t="s">
        <v>1193</v>
      </c>
      <c r="B39" s="43" t="s">
        <v>764</v>
      </c>
      <c r="C39" s="46" t="s">
        <v>30</v>
      </c>
      <c r="D39" s="44" t="s">
        <v>775</v>
      </c>
      <c r="E39" s="47">
        <v>14065</v>
      </c>
      <c r="F39" s="46" t="s">
        <v>790</v>
      </c>
      <c r="G39" s="35">
        <v>8310</v>
      </c>
      <c r="H39" s="35">
        <v>8310</v>
      </c>
    </row>
    <row r="40" spans="1:8" s="15" customFormat="1" ht="26.1" customHeight="1" x14ac:dyDescent="0.2">
      <c r="A40" s="1" t="s">
        <v>1193</v>
      </c>
      <c r="B40" s="43" t="s">
        <v>627</v>
      </c>
      <c r="C40" s="46" t="s">
        <v>30</v>
      </c>
      <c r="D40" s="44" t="s">
        <v>375</v>
      </c>
      <c r="E40" s="54" t="s">
        <v>662</v>
      </c>
      <c r="F40" s="46" t="s">
        <v>652</v>
      </c>
      <c r="G40" s="35">
        <v>8360</v>
      </c>
      <c r="H40" s="35">
        <v>8360</v>
      </c>
    </row>
    <row r="41" spans="1:8" s="15" customFormat="1" ht="26.1" customHeight="1" x14ac:dyDescent="0.2">
      <c r="A41" s="1" t="s">
        <v>1193</v>
      </c>
      <c r="B41" s="43" t="s">
        <v>592</v>
      </c>
      <c r="C41" s="46" t="s">
        <v>21</v>
      </c>
      <c r="D41" s="44" t="s">
        <v>600</v>
      </c>
      <c r="E41" s="47">
        <v>13757</v>
      </c>
      <c r="F41" s="46" t="s">
        <v>606</v>
      </c>
      <c r="G41" s="35">
        <v>8485</v>
      </c>
      <c r="H41" s="35">
        <v>8485</v>
      </c>
    </row>
    <row r="42" spans="1:8" s="15" customFormat="1" ht="26.1" customHeight="1" x14ac:dyDescent="0.2">
      <c r="A42" s="1" t="s">
        <v>1193</v>
      </c>
      <c r="B42" s="43" t="s">
        <v>301</v>
      </c>
      <c r="C42" s="46" t="s">
        <v>19</v>
      </c>
      <c r="D42" s="44" t="s">
        <v>313</v>
      </c>
      <c r="E42" s="54">
        <v>12948</v>
      </c>
      <c r="F42" s="46" t="s">
        <v>324</v>
      </c>
      <c r="G42" s="35">
        <v>8500</v>
      </c>
      <c r="H42" s="35">
        <v>8500</v>
      </c>
    </row>
    <row r="43" spans="1:8" s="15" customFormat="1" ht="26.1" customHeight="1" x14ac:dyDescent="0.2">
      <c r="A43" s="1" t="s">
        <v>1193</v>
      </c>
      <c r="B43" s="43" t="s">
        <v>106</v>
      </c>
      <c r="C43" s="46" t="s">
        <v>35</v>
      </c>
      <c r="D43" s="44" t="s">
        <v>125</v>
      </c>
      <c r="E43" s="47">
        <v>12823</v>
      </c>
      <c r="F43" s="46" t="s">
        <v>138</v>
      </c>
      <c r="G43" s="35">
        <v>9224</v>
      </c>
      <c r="H43" s="40">
        <v>9224</v>
      </c>
    </row>
    <row r="44" spans="1:8" s="15" customFormat="1" ht="26.1" customHeight="1" x14ac:dyDescent="0.2">
      <c r="A44" s="1" t="s">
        <v>1193</v>
      </c>
      <c r="B44" s="43" t="s">
        <v>309</v>
      </c>
      <c r="C44" s="46" t="s">
        <v>19</v>
      </c>
      <c r="D44" s="44" t="s">
        <v>317</v>
      </c>
      <c r="E44" s="47">
        <v>13283</v>
      </c>
      <c r="F44" s="46" t="s">
        <v>75</v>
      </c>
      <c r="G44" s="35">
        <v>9560</v>
      </c>
      <c r="H44" s="40">
        <v>9560</v>
      </c>
    </row>
    <row r="45" spans="1:8" s="15" customFormat="1" ht="26.1" customHeight="1" x14ac:dyDescent="0.2">
      <c r="A45" s="1" t="s">
        <v>1193</v>
      </c>
      <c r="B45" s="43" t="s">
        <v>544</v>
      </c>
      <c r="C45" s="46" t="s">
        <v>92</v>
      </c>
      <c r="D45" s="44" t="s">
        <v>555</v>
      </c>
      <c r="E45" s="47">
        <v>13662</v>
      </c>
      <c r="F45" s="46" t="s">
        <v>564</v>
      </c>
      <c r="G45" s="35">
        <v>9800</v>
      </c>
      <c r="H45" s="35">
        <v>9800</v>
      </c>
    </row>
    <row r="46" spans="1:8" s="15" customFormat="1" ht="26.1" customHeight="1" x14ac:dyDescent="0.2">
      <c r="A46" s="1" t="s">
        <v>1193</v>
      </c>
      <c r="B46" s="43" t="s">
        <v>972</v>
      </c>
      <c r="C46" s="46" t="s">
        <v>19</v>
      </c>
      <c r="D46" s="44" t="s">
        <v>982</v>
      </c>
      <c r="E46" s="47">
        <v>14359</v>
      </c>
      <c r="F46" s="46" t="s">
        <v>993</v>
      </c>
      <c r="G46" s="35">
        <v>9865</v>
      </c>
      <c r="H46" s="35">
        <v>9865</v>
      </c>
    </row>
    <row r="47" spans="1:8" s="15" customFormat="1" ht="26.1" customHeight="1" x14ac:dyDescent="0.2">
      <c r="A47" s="1" t="s">
        <v>1193</v>
      </c>
      <c r="B47" s="43" t="s">
        <v>465</v>
      </c>
      <c r="C47" s="46" t="s">
        <v>92</v>
      </c>
      <c r="D47" s="44" t="s">
        <v>126</v>
      </c>
      <c r="E47" s="47">
        <v>13553</v>
      </c>
      <c r="F47" s="46" t="s">
        <v>491</v>
      </c>
      <c r="G47" s="35">
        <v>9958</v>
      </c>
      <c r="H47" s="35">
        <v>9958</v>
      </c>
    </row>
    <row r="48" spans="1:8" s="15" customFormat="1" ht="26.1" customHeight="1" x14ac:dyDescent="0.2">
      <c r="A48" s="1" t="s">
        <v>1193</v>
      </c>
      <c r="B48" s="43" t="s">
        <v>233</v>
      </c>
      <c r="C48" s="46" t="s">
        <v>19</v>
      </c>
      <c r="D48" s="44" t="s">
        <v>254</v>
      </c>
      <c r="E48" s="47">
        <v>13016</v>
      </c>
      <c r="F48" s="46" t="s">
        <v>270</v>
      </c>
      <c r="G48" s="35">
        <v>10000</v>
      </c>
      <c r="H48" s="40">
        <v>10000</v>
      </c>
    </row>
    <row r="49" spans="1:8" s="15" customFormat="1" ht="26.1" customHeight="1" x14ac:dyDescent="0.2">
      <c r="A49" s="1" t="s">
        <v>1193</v>
      </c>
      <c r="B49" s="43" t="s">
        <v>521</v>
      </c>
      <c r="C49" s="46" t="s">
        <v>19</v>
      </c>
      <c r="D49" s="44" t="s">
        <v>529</v>
      </c>
      <c r="E49" s="47">
        <v>13658</v>
      </c>
      <c r="F49" s="46" t="s">
        <v>536</v>
      </c>
      <c r="G49" s="35">
        <v>10000</v>
      </c>
      <c r="H49" s="35">
        <v>10000</v>
      </c>
    </row>
    <row r="50" spans="1:8" s="15" customFormat="1" ht="26.1" customHeight="1" x14ac:dyDescent="0.2">
      <c r="A50" s="1" t="s">
        <v>1193</v>
      </c>
      <c r="B50" s="43" t="s">
        <v>523</v>
      </c>
      <c r="C50" s="46" t="s">
        <v>92</v>
      </c>
      <c r="D50" s="44" t="s">
        <v>531</v>
      </c>
      <c r="E50" s="47">
        <v>13636</v>
      </c>
      <c r="F50" s="46" t="s">
        <v>538</v>
      </c>
      <c r="G50" s="35">
        <v>10000</v>
      </c>
      <c r="H50" s="35">
        <v>10000</v>
      </c>
    </row>
    <row r="51" spans="1:8" s="15" customFormat="1" ht="26.1" customHeight="1" x14ac:dyDescent="0.2">
      <c r="A51" s="1" t="s">
        <v>1193</v>
      </c>
      <c r="B51" s="43" t="s">
        <v>632</v>
      </c>
      <c r="C51" s="46" t="s">
        <v>92</v>
      </c>
      <c r="D51" s="44" t="s">
        <v>645</v>
      </c>
      <c r="E51" s="54" t="s">
        <v>664</v>
      </c>
      <c r="F51" s="46" t="s">
        <v>657</v>
      </c>
      <c r="G51" s="35">
        <v>10000</v>
      </c>
      <c r="H51" s="35">
        <v>7233</v>
      </c>
    </row>
    <row r="52" spans="1:8" s="15" customFormat="1" ht="26.1" customHeight="1" x14ac:dyDescent="0.2">
      <c r="A52" s="1" t="s">
        <v>1193</v>
      </c>
      <c r="B52" s="43" t="s">
        <v>975</v>
      </c>
      <c r="C52" s="46" t="s">
        <v>20</v>
      </c>
      <c r="D52" s="44" t="s">
        <v>985</v>
      </c>
      <c r="E52" s="54" t="s">
        <v>990</v>
      </c>
      <c r="F52" s="46" t="s">
        <v>996</v>
      </c>
      <c r="G52" s="35">
        <f>5000+5000</f>
        <v>10000</v>
      </c>
      <c r="H52" s="35">
        <v>14290</v>
      </c>
    </row>
    <row r="53" spans="1:8" s="15" customFormat="1" ht="26.1" customHeight="1" x14ac:dyDescent="0.2">
      <c r="A53" s="1" t="s">
        <v>1193</v>
      </c>
      <c r="B53" s="43" t="s">
        <v>1012</v>
      </c>
      <c r="C53" s="46" t="s">
        <v>22</v>
      </c>
      <c r="D53" s="44" t="s">
        <v>1026</v>
      </c>
      <c r="E53" s="47">
        <v>14489</v>
      </c>
      <c r="F53" s="46" t="s">
        <v>1038</v>
      </c>
      <c r="G53" s="35">
        <v>10000</v>
      </c>
      <c r="H53" s="35">
        <v>10000</v>
      </c>
    </row>
    <row r="54" spans="1:8" s="15" customFormat="1" ht="26.1" customHeight="1" x14ac:dyDescent="0.2">
      <c r="A54" s="1" t="s">
        <v>1193</v>
      </c>
      <c r="B54" s="43" t="s">
        <v>1138</v>
      </c>
      <c r="C54" s="46" t="s">
        <v>30</v>
      </c>
      <c r="D54" s="44" t="s">
        <v>1144</v>
      </c>
      <c r="E54" s="47">
        <v>14681</v>
      </c>
      <c r="F54" s="46" t="s">
        <v>1148</v>
      </c>
      <c r="G54" s="35">
        <v>10000</v>
      </c>
      <c r="H54" s="35">
        <v>30000</v>
      </c>
    </row>
    <row r="55" spans="1:8" s="15" customFormat="1" ht="26.1" customHeight="1" x14ac:dyDescent="0.2">
      <c r="A55" s="1" t="s">
        <v>1193</v>
      </c>
      <c r="B55" s="43" t="s">
        <v>973</v>
      </c>
      <c r="C55" s="46" t="s">
        <v>19</v>
      </c>
      <c r="D55" s="44" t="s">
        <v>983</v>
      </c>
      <c r="E55" s="47">
        <v>14360</v>
      </c>
      <c r="F55" s="46" t="s">
        <v>994</v>
      </c>
      <c r="G55" s="35">
        <v>10125</v>
      </c>
      <c r="H55" s="35">
        <v>10125</v>
      </c>
    </row>
    <row r="56" spans="1:8" s="15" customFormat="1" ht="26.1" customHeight="1" x14ac:dyDescent="0.2">
      <c r="A56" s="1" t="s">
        <v>1193</v>
      </c>
      <c r="B56" s="43" t="s">
        <v>620</v>
      </c>
      <c r="C56" s="46" t="s">
        <v>634</v>
      </c>
      <c r="D56" s="44" t="s">
        <v>638</v>
      </c>
      <c r="E56" s="47">
        <v>13749</v>
      </c>
      <c r="F56" s="46" t="s">
        <v>647</v>
      </c>
      <c r="G56" s="35">
        <v>10500</v>
      </c>
      <c r="H56" s="35">
        <v>10500</v>
      </c>
    </row>
    <row r="57" spans="1:8" s="15" customFormat="1" ht="26.1" customHeight="1" x14ac:dyDescent="0.2">
      <c r="A57" s="1" t="s">
        <v>1193</v>
      </c>
      <c r="B57" s="43" t="s">
        <v>836</v>
      </c>
      <c r="C57" s="46" t="s">
        <v>36</v>
      </c>
      <c r="D57" s="44" t="s">
        <v>844</v>
      </c>
      <c r="E57" s="47">
        <v>14005</v>
      </c>
      <c r="F57" s="46" t="s">
        <v>852</v>
      </c>
      <c r="G57" s="35">
        <v>10692</v>
      </c>
      <c r="H57" s="35">
        <v>10692</v>
      </c>
    </row>
    <row r="58" spans="1:8" s="15" customFormat="1" ht="26.1" customHeight="1" x14ac:dyDescent="0.2">
      <c r="A58" s="1" t="s">
        <v>1193</v>
      </c>
      <c r="B58" s="43" t="s">
        <v>118</v>
      </c>
      <c r="C58" s="46" t="s">
        <v>19</v>
      </c>
      <c r="D58" s="44" t="s">
        <v>130</v>
      </c>
      <c r="E58" s="54">
        <v>12921</v>
      </c>
      <c r="F58" s="46" t="s">
        <v>150</v>
      </c>
      <c r="G58" s="35">
        <v>10750</v>
      </c>
      <c r="H58" s="35">
        <v>10750</v>
      </c>
    </row>
    <row r="59" spans="1:8" s="15" customFormat="1" ht="26.1" customHeight="1" x14ac:dyDescent="0.2">
      <c r="A59" s="1" t="s">
        <v>1193</v>
      </c>
      <c r="B59" s="43" t="s">
        <v>900</v>
      </c>
      <c r="C59" s="46" t="s">
        <v>31</v>
      </c>
      <c r="D59" s="44" t="s">
        <v>904</v>
      </c>
      <c r="E59" s="47">
        <v>14258</v>
      </c>
      <c r="F59" s="46" t="s">
        <v>909</v>
      </c>
      <c r="G59" s="35">
        <v>10950</v>
      </c>
      <c r="H59" s="35">
        <v>10950</v>
      </c>
    </row>
    <row r="60" spans="1:8" s="15" customFormat="1" ht="26.1" customHeight="1" x14ac:dyDescent="0.2">
      <c r="A60" s="1" t="s">
        <v>1193</v>
      </c>
      <c r="B60" s="43" t="s">
        <v>155</v>
      </c>
      <c r="C60" s="46" t="s">
        <v>21</v>
      </c>
      <c r="D60" s="44" t="s">
        <v>77</v>
      </c>
      <c r="E60" s="47">
        <v>12371</v>
      </c>
      <c r="F60" s="46" t="s">
        <v>174</v>
      </c>
      <c r="G60" s="35">
        <v>11032</v>
      </c>
      <c r="H60" s="40">
        <v>11032</v>
      </c>
    </row>
    <row r="61" spans="1:8" s="15" customFormat="1" ht="26.1" customHeight="1" x14ac:dyDescent="0.2">
      <c r="A61" s="1" t="s">
        <v>1193</v>
      </c>
      <c r="B61" s="43" t="s">
        <v>794</v>
      </c>
      <c r="C61" s="46" t="s">
        <v>19</v>
      </c>
      <c r="D61" s="44" t="s">
        <v>805</v>
      </c>
      <c r="E61" s="47">
        <v>13625</v>
      </c>
      <c r="F61" s="46" t="s">
        <v>809</v>
      </c>
      <c r="G61" s="35">
        <v>11098</v>
      </c>
      <c r="H61" s="35">
        <v>11098</v>
      </c>
    </row>
    <row r="62" spans="1:8" s="15" customFormat="1" ht="26.1" customHeight="1" x14ac:dyDescent="0.2">
      <c r="A62" s="1" t="s">
        <v>1193</v>
      </c>
      <c r="B62" s="43" t="s">
        <v>247</v>
      </c>
      <c r="C62" s="46" t="s">
        <v>30</v>
      </c>
      <c r="D62" s="44" t="s">
        <v>265</v>
      </c>
      <c r="E62" s="47">
        <v>13209</v>
      </c>
      <c r="F62" s="46" t="s">
        <v>49</v>
      </c>
      <c r="G62" s="35">
        <v>11172</v>
      </c>
      <c r="H62" s="35">
        <v>11172</v>
      </c>
    </row>
    <row r="63" spans="1:8" s="15" customFormat="1" ht="26.1" customHeight="1" x14ac:dyDescent="0.2">
      <c r="A63" s="1" t="s">
        <v>1193</v>
      </c>
      <c r="B63" s="43" t="s">
        <v>621</v>
      </c>
      <c r="C63" s="46" t="s">
        <v>69</v>
      </c>
      <c r="D63" s="44" t="s">
        <v>401</v>
      </c>
      <c r="E63" s="47">
        <v>13752</v>
      </c>
      <c r="F63" s="46" t="s">
        <v>648</v>
      </c>
      <c r="G63" s="35">
        <v>11375</v>
      </c>
      <c r="H63" s="35">
        <v>11375</v>
      </c>
    </row>
    <row r="64" spans="1:8" s="15" customFormat="1" ht="26.1" customHeight="1" x14ac:dyDescent="0.2">
      <c r="A64" s="1" t="s">
        <v>1193</v>
      </c>
      <c r="B64" s="43" t="s">
        <v>802</v>
      </c>
      <c r="C64" s="46" t="s">
        <v>19</v>
      </c>
      <c r="D64" s="44" t="s">
        <v>46</v>
      </c>
      <c r="E64" s="47">
        <v>13913</v>
      </c>
      <c r="F64" s="46" t="s">
        <v>817</v>
      </c>
      <c r="G64" s="35">
        <v>11375</v>
      </c>
      <c r="H64" s="35">
        <v>11375</v>
      </c>
    </row>
    <row r="65" spans="1:8" s="15" customFormat="1" ht="26.1" customHeight="1" x14ac:dyDescent="0.2">
      <c r="A65" s="1" t="s">
        <v>1193</v>
      </c>
      <c r="B65" s="43" t="s">
        <v>879</v>
      </c>
      <c r="C65" s="46" t="s">
        <v>19</v>
      </c>
      <c r="D65" s="44" t="s">
        <v>128</v>
      </c>
      <c r="E65" s="47">
        <v>14236</v>
      </c>
      <c r="F65" s="46" t="s">
        <v>886</v>
      </c>
      <c r="G65" s="35">
        <v>11398</v>
      </c>
      <c r="H65" s="35">
        <v>11398</v>
      </c>
    </row>
    <row r="66" spans="1:8" s="15" customFormat="1" ht="26.1" customHeight="1" x14ac:dyDescent="0.2">
      <c r="A66" s="1" t="s">
        <v>1193</v>
      </c>
      <c r="B66" s="43" t="s">
        <v>1152</v>
      </c>
      <c r="C66" s="46" t="s">
        <v>35</v>
      </c>
      <c r="D66" s="44" t="s">
        <v>1161</v>
      </c>
      <c r="E66" s="47">
        <v>14703</v>
      </c>
      <c r="F66" s="46" t="s">
        <v>1170</v>
      </c>
      <c r="G66" s="35">
        <v>11467</v>
      </c>
      <c r="H66" s="35">
        <v>11467</v>
      </c>
    </row>
    <row r="67" spans="1:8" s="15" customFormat="1" ht="26.1" customHeight="1" x14ac:dyDescent="0.2">
      <c r="A67" s="1" t="s">
        <v>1193</v>
      </c>
      <c r="B67" s="43" t="s">
        <v>756</v>
      </c>
      <c r="C67" s="46" t="s">
        <v>69</v>
      </c>
      <c r="D67" s="44" t="s">
        <v>770</v>
      </c>
      <c r="E67" s="54" t="s">
        <v>777</v>
      </c>
      <c r="F67" s="46" t="s">
        <v>781</v>
      </c>
      <c r="G67" s="35">
        <f>702+5400+5400</f>
        <v>11502</v>
      </c>
      <c r="H67" s="35">
        <v>4698</v>
      </c>
    </row>
    <row r="68" spans="1:8" s="15" customFormat="1" ht="26.1" customHeight="1" x14ac:dyDescent="0.2">
      <c r="A68" s="1" t="s">
        <v>1193</v>
      </c>
      <c r="B68" s="43" t="s">
        <v>921</v>
      </c>
      <c r="C68" s="46" t="s">
        <v>21</v>
      </c>
      <c r="D68" s="44" t="s">
        <v>924</v>
      </c>
      <c r="E68" s="47">
        <v>14458</v>
      </c>
      <c r="F68" s="46" t="s">
        <v>927</v>
      </c>
      <c r="G68" s="35">
        <v>11790</v>
      </c>
      <c r="H68" s="35">
        <v>11790</v>
      </c>
    </row>
    <row r="69" spans="1:8" s="15" customFormat="1" ht="26.1" customHeight="1" x14ac:dyDescent="0.2">
      <c r="A69" s="1" t="s">
        <v>1193</v>
      </c>
      <c r="B69" s="43" t="s">
        <v>803</v>
      </c>
      <c r="C69" s="46" t="s">
        <v>19</v>
      </c>
      <c r="D69" s="44" t="s">
        <v>46</v>
      </c>
      <c r="E69" s="47">
        <v>13914</v>
      </c>
      <c r="F69" s="46" t="s">
        <v>818</v>
      </c>
      <c r="G69" s="35">
        <v>12125</v>
      </c>
      <c r="H69" s="35">
        <v>12125</v>
      </c>
    </row>
    <row r="70" spans="1:8" s="15" customFormat="1" ht="26.1" customHeight="1" x14ac:dyDescent="0.2">
      <c r="A70" s="1" t="s">
        <v>1193</v>
      </c>
      <c r="B70" s="43" t="s">
        <v>395</v>
      </c>
      <c r="C70" s="46" t="s">
        <v>35</v>
      </c>
      <c r="D70" s="44" t="s">
        <v>400</v>
      </c>
      <c r="E70" s="47">
        <v>13371</v>
      </c>
      <c r="F70" s="46" t="s">
        <v>402</v>
      </c>
      <c r="G70" s="35">
        <v>12450</v>
      </c>
      <c r="H70" s="35">
        <v>12450</v>
      </c>
    </row>
    <row r="71" spans="1:8" s="15" customFormat="1" ht="26.1" customHeight="1" x14ac:dyDescent="0.2">
      <c r="A71" s="1" t="s">
        <v>1193</v>
      </c>
      <c r="B71" s="43" t="s">
        <v>463</v>
      </c>
      <c r="C71" s="46" t="s">
        <v>62</v>
      </c>
      <c r="D71" s="44" t="s">
        <v>478</v>
      </c>
      <c r="E71" s="47">
        <v>13560</v>
      </c>
      <c r="F71" s="46" t="s">
        <v>490</v>
      </c>
      <c r="G71" s="35">
        <v>12500</v>
      </c>
      <c r="H71" s="35">
        <v>12500</v>
      </c>
    </row>
    <row r="72" spans="1:8" s="15" customFormat="1" ht="26.1" customHeight="1" x14ac:dyDescent="0.2">
      <c r="A72" s="1" t="s">
        <v>1193</v>
      </c>
      <c r="B72" s="43" t="s">
        <v>630</v>
      </c>
      <c r="C72" s="46" t="s">
        <v>26</v>
      </c>
      <c r="D72" s="44" t="s">
        <v>636</v>
      </c>
      <c r="E72" s="54" t="s">
        <v>663</v>
      </c>
      <c r="F72" s="46" t="s">
        <v>655</v>
      </c>
      <c r="G72" s="35">
        <v>12500</v>
      </c>
      <c r="H72" s="35">
        <v>12500</v>
      </c>
    </row>
    <row r="73" spans="1:8" s="15" customFormat="1" ht="26.1" customHeight="1" x14ac:dyDescent="0.2">
      <c r="A73" s="1" t="s">
        <v>1193</v>
      </c>
      <c r="B73" s="43" t="s">
        <v>304</v>
      </c>
      <c r="C73" s="46" t="s">
        <v>19</v>
      </c>
      <c r="D73" s="44" t="s">
        <v>81</v>
      </c>
      <c r="E73" s="47">
        <v>13213</v>
      </c>
      <c r="F73" s="46" t="s">
        <v>327</v>
      </c>
      <c r="G73" s="35">
        <v>12792</v>
      </c>
      <c r="H73" s="35">
        <v>12792</v>
      </c>
    </row>
    <row r="74" spans="1:8" s="15" customFormat="1" ht="26.1" customHeight="1" x14ac:dyDescent="0.2">
      <c r="A74" s="1" t="s">
        <v>1193</v>
      </c>
      <c r="B74" s="43" t="s">
        <v>306</v>
      </c>
      <c r="C74" s="46" t="s">
        <v>62</v>
      </c>
      <c r="D74" s="44" t="s">
        <v>316</v>
      </c>
      <c r="E74" s="47">
        <v>13257</v>
      </c>
      <c r="F74" s="46" t="s">
        <v>329</v>
      </c>
      <c r="G74" s="35">
        <v>12850</v>
      </c>
      <c r="H74" s="35">
        <v>12850</v>
      </c>
    </row>
    <row r="75" spans="1:8" s="15" customFormat="1" ht="26.1" customHeight="1" x14ac:dyDescent="0.2">
      <c r="A75" s="1" t="s">
        <v>1193</v>
      </c>
      <c r="B75" s="43" t="s">
        <v>303</v>
      </c>
      <c r="C75" s="46" t="s">
        <v>22</v>
      </c>
      <c r="D75" s="44" t="s">
        <v>42</v>
      </c>
      <c r="E75" s="54" t="s">
        <v>322</v>
      </c>
      <c r="F75" s="46" t="s">
        <v>326</v>
      </c>
      <c r="G75" s="35">
        <f>6480*2</f>
        <v>12960</v>
      </c>
      <c r="H75" s="35">
        <v>10080</v>
      </c>
    </row>
    <row r="76" spans="1:8" s="15" customFormat="1" ht="26.1" customHeight="1" x14ac:dyDescent="0.2">
      <c r="A76" s="1" t="s">
        <v>1193</v>
      </c>
      <c r="B76" s="43" t="s">
        <v>471</v>
      </c>
      <c r="C76" s="46" t="s">
        <v>30</v>
      </c>
      <c r="D76" s="44" t="s">
        <v>483</v>
      </c>
      <c r="E76" s="47">
        <v>13488</v>
      </c>
      <c r="F76" s="46" t="s">
        <v>497</v>
      </c>
      <c r="G76" s="35">
        <v>13100</v>
      </c>
      <c r="H76" s="35">
        <v>13100</v>
      </c>
    </row>
    <row r="77" spans="1:8" s="15" customFormat="1" ht="26.1" customHeight="1" x14ac:dyDescent="0.2">
      <c r="A77" s="1" t="s">
        <v>1193</v>
      </c>
      <c r="B77" s="43" t="s">
        <v>1052</v>
      </c>
      <c r="C77" s="46" t="s">
        <v>17</v>
      </c>
      <c r="D77" s="44" t="s">
        <v>427</v>
      </c>
      <c r="E77" s="54" t="s">
        <v>1061</v>
      </c>
      <c r="F77" s="46" t="s">
        <v>1062</v>
      </c>
      <c r="G77" s="35">
        <v>13200</v>
      </c>
      <c r="H77" s="35">
        <v>45000</v>
      </c>
    </row>
    <row r="78" spans="1:8" s="15" customFormat="1" ht="26.1" customHeight="1" x14ac:dyDescent="0.2">
      <c r="A78" s="1" t="s">
        <v>1193</v>
      </c>
      <c r="B78" s="43" t="s">
        <v>590</v>
      </c>
      <c r="C78" s="46" t="s">
        <v>596</v>
      </c>
      <c r="D78" s="44" t="s">
        <v>598</v>
      </c>
      <c r="E78" s="47">
        <v>13692</v>
      </c>
      <c r="F78" s="46" t="s">
        <v>604</v>
      </c>
      <c r="G78" s="35">
        <v>13416</v>
      </c>
      <c r="H78" s="35">
        <v>13416</v>
      </c>
    </row>
    <row r="79" spans="1:8" s="15" customFormat="1" ht="26.1" customHeight="1" x14ac:dyDescent="0.2">
      <c r="A79" s="1" t="s">
        <v>1193</v>
      </c>
      <c r="B79" s="43" t="s">
        <v>112</v>
      </c>
      <c r="C79" s="46" t="s">
        <v>92</v>
      </c>
      <c r="D79" s="44" t="s">
        <v>126</v>
      </c>
      <c r="E79" s="47">
        <v>12889</v>
      </c>
      <c r="F79" s="46" t="s">
        <v>144</v>
      </c>
      <c r="G79" s="35">
        <v>13472</v>
      </c>
      <c r="H79" s="35">
        <v>13472</v>
      </c>
    </row>
    <row r="80" spans="1:8" s="15" customFormat="1" ht="26.1" customHeight="1" x14ac:dyDescent="0.2">
      <c r="A80" s="1" t="s">
        <v>1193</v>
      </c>
      <c r="B80" s="43" t="s">
        <v>393</v>
      </c>
      <c r="C80" s="46" t="s">
        <v>21</v>
      </c>
      <c r="D80" s="44" t="s">
        <v>398</v>
      </c>
      <c r="E80" s="47">
        <v>13340</v>
      </c>
      <c r="F80" s="46" t="s">
        <v>405</v>
      </c>
      <c r="G80" s="35">
        <v>13869</v>
      </c>
      <c r="H80" s="35">
        <v>13869</v>
      </c>
    </row>
    <row r="81" spans="1:8" s="15" customFormat="1" ht="26.1" customHeight="1" x14ac:dyDescent="0.2">
      <c r="A81" s="1" t="s">
        <v>1193</v>
      </c>
      <c r="B81" s="43" t="s">
        <v>762</v>
      </c>
      <c r="C81" s="46" t="s">
        <v>19</v>
      </c>
      <c r="D81" s="44" t="s">
        <v>637</v>
      </c>
      <c r="E81" s="47">
        <v>14058</v>
      </c>
      <c r="F81" s="46" t="s">
        <v>787</v>
      </c>
      <c r="G81" s="35">
        <v>14375</v>
      </c>
      <c r="H81" s="35">
        <v>14375</v>
      </c>
    </row>
    <row r="82" spans="1:8" s="15" customFormat="1" ht="26.1" customHeight="1" x14ac:dyDescent="0.2">
      <c r="A82" s="1" t="s">
        <v>1193</v>
      </c>
      <c r="B82" s="43" t="s">
        <v>122</v>
      </c>
      <c r="C82" s="46" t="s">
        <v>23</v>
      </c>
      <c r="D82" s="44" t="s">
        <v>41</v>
      </c>
      <c r="E82" s="47">
        <v>12957</v>
      </c>
      <c r="F82" s="46" t="s">
        <v>151</v>
      </c>
      <c r="G82" s="35">
        <v>15000</v>
      </c>
      <c r="H82" s="35">
        <v>15000</v>
      </c>
    </row>
    <row r="83" spans="1:8" s="15" customFormat="1" ht="26.1" customHeight="1" x14ac:dyDescent="0.2">
      <c r="A83" s="1" t="s">
        <v>1193</v>
      </c>
      <c r="B83" s="43" t="s">
        <v>236</v>
      </c>
      <c r="C83" s="46" t="s">
        <v>31</v>
      </c>
      <c r="D83" s="44" t="s">
        <v>257</v>
      </c>
      <c r="E83" s="47">
        <v>13088</v>
      </c>
      <c r="F83" s="46" t="s">
        <v>273</v>
      </c>
      <c r="G83" s="35">
        <v>15000</v>
      </c>
      <c r="H83" s="35">
        <v>15000</v>
      </c>
    </row>
    <row r="84" spans="1:8" s="15" customFormat="1" ht="26.1" customHeight="1" x14ac:dyDescent="0.2">
      <c r="A84" s="1" t="s">
        <v>1193</v>
      </c>
      <c r="B84" s="43" t="s">
        <v>237</v>
      </c>
      <c r="C84" s="46" t="s">
        <v>62</v>
      </c>
      <c r="D84" s="44" t="s">
        <v>258</v>
      </c>
      <c r="E84" s="47">
        <v>13092</v>
      </c>
      <c r="F84" s="46" t="s">
        <v>392</v>
      </c>
      <c r="G84" s="35">
        <v>15000</v>
      </c>
      <c r="H84" s="35">
        <v>5000</v>
      </c>
    </row>
    <row r="85" spans="1:8" s="15" customFormat="1" ht="26.1" customHeight="1" x14ac:dyDescent="0.2">
      <c r="A85" s="1" t="s">
        <v>1193</v>
      </c>
      <c r="B85" s="43" t="s">
        <v>416</v>
      </c>
      <c r="C85" s="46" t="s">
        <v>19</v>
      </c>
      <c r="D85" s="44" t="s">
        <v>423</v>
      </c>
      <c r="E85" s="47">
        <v>13328</v>
      </c>
      <c r="F85" s="46" t="s">
        <v>434</v>
      </c>
      <c r="G85" s="35">
        <v>15000</v>
      </c>
      <c r="H85" s="35">
        <v>15000</v>
      </c>
    </row>
    <row r="86" spans="1:8" s="15" customFormat="1" ht="26.1" customHeight="1" x14ac:dyDescent="0.2">
      <c r="A86" s="1" t="s">
        <v>1193</v>
      </c>
      <c r="B86" s="43" t="s">
        <v>460</v>
      </c>
      <c r="C86" s="46" t="s">
        <v>19</v>
      </c>
      <c r="D86" s="44" t="s">
        <v>475</v>
      </c>
      <c r="E86" s="47">
        <v>13614</v>
      </c>
      <c r="F86" s="46" t="s">
        <v>487</v>
      </c>
      <c r="G86" s="35">
        <v>15000</v>
      </c>
      <c r="H86" s="35">
        <v>15000</v>
      </c>
    </row>
    <row r="87" spans="1:8" s="15" customFormat="1" ht="26.1" customHeight="1" x14ac:dyDescent="0.2">
      <c r="A87" s="1" t="s">
        <v>1193</v>
      </c>
      <c r="B87" s="43" t="s">
        <v>553</v>
      </c>
      <c r="C87" s="46" t="s">
        <v>19</v>
      </c>
      <c r="D87" s="44" t="s">
        <v>254</v>
      </c>
      <c r="E87" s="47">
        <v>13735</v>
      </c>
      <c r="F87" s="46" t="s">
        <v>570</v>
      </c>
      <c r="G87" s="35">
        <v>15000</v>
      </c>
      <c r="H87" s="35">
        <v>15000</v>
      </c>
    </row>
    <row r="88" spans="1:8" s="15" customFormat="1" ht="26.1" customHeight="1" x14ac:dyDescent="0.2">
      <c r="A88" s="1" t="s">
        <v>1193</v>
      </c>
      <c r="B88" s="43" t="s">
        <v>618</v>
      </c>
      <c r="C88" s="46" t="s">
        <v>26</v>
      </c>
      <c r="D88" s="44" t="s">
        <v>636</v>
      </c>
      <c r="E88" s="54" t="s">
        <v>660</v>
      </c>
      <c r="F88" s="46" t="s">
        <v>635</v>
      </c>
      <c r="G88" s="35">
        <v>15000</v>
      </c>
      <c r="H88" s="35">
        <v>15000</v>
      </c>
    </row>
    <row r="89" spans="1:8" s="15" customFormat="1" ht="26.1" customHeight="1" x14ac:dyDescent="0.2">
      <c r="A89" s="1" t="s">
        <v>1193</v>
      </c>
      <c r="B89" s="43" t="s">
        <v>804</v>
      </c>
      <c r="C89" s="46" t="s">
        <v>19</v>
      </c>
      <c r="D89" s="44" t="s">
        <v>806</v>
      </c>
      <c r="E89" s="47">
        <v>14078</v>
      </c>
      <c r="F89" s="46" t="s">
        <v>819</v>
      </c>
      <c r="G89" s="35">
        <v>15000</v>
      </c>
      <c r="H89" s="35">
        <v>15000</v>
      </c>
    </row>
    <row r="90" spans="1:8" s="15" customFormat="1" ht="26.1" customHeight="1" x14ac:dyDescent="0.2">
      <c r="A90" s="1" t="s">
        <v>1193</v>
      </c>
      <c r="B90" s="43" t="s">
        <v>859</v>
      </c>
      <c r="C90" s="46" t="s">
        <v>597</v>
      </c>
      <c r="D90" s="44" t="s">
        <v>599</v>
      </c>
      <c r="E90" s="54" t="s">
        <v>864</v>
      </c>
      <c r="F90" s="46" t="s">
        <v>865</v>
      </c>
      <c r="G90" s="35">
        <v>15000</v>
      </c>
      <c r="H90" s="35">
        <v>27625</v>
      </c>
    </row>
    <row r="91" spans="1:8" s="15" customFormat="1" ht="26.1" customHeight="1" x14ac:dyDescent="0.2">
      <c r="A91" s="1" t="s">
        <v>1193</v>
      </c>
      <c r="B91" s="43" t="s">
        <v>877</v>
      </c>
      <c r="C91" s="46" t="s">
        <v>23</v>
      </c>
      <c r="D91" s="44" t="s">
        <v>509</v>
      </c>
      <c r="E91" s="54" t="s">
        <v>881</v>
      </c>
      <c r="F91" s="46" t="s">
        <v>884</v>
      </c>
      <c r="G91" s="35">
        <f>7500+7500</f>
        <v>15000</v>
      </c>
      <c r="H91" s="35">
        <v>15000</v>
      </c>
    </row>
    <row r="92" spans="1:8" s="15" customFormat="1" ht="26.1" customHeight="1" x14ac:dyDescent="0.2">
      <c r="A92" s="1" t="s">
        <v>1193</v>
      </c>
      <c r="B92" s="43" t="s">
        <v>1005</v>
      </c>
      <c r="C92" s="46" t="s">
        <v>19</v>
      </c>
      <c r="D92" s="44" t="s">
        <v>358</v>
      </c>
      <c r="E92" s="47">
        <v>14543</v>
      </c>
      <c r="F92" s="46" t="s">
        <v>1011</v>
      </c>
      <c r="G92" s="35">
        <v>15000</v>
      </c>
      <c r="H92" s="35">
        <v>74000</v>
      </c>
    </row>
    <row r="93" spans="1:8" s="15" customFormat="1" ht="26.1" customHeight="1" x14ac:dyDescent="0.2">
      <c r="A93" s="1" t="s">
        <v>1193</v>
      </c>
      <c r="B93" s="43" t="s">
        <v>1154</v>
      </c>
      <c r="C93" s="46" t="s">
        <v>92</v>
      </c>
      <c r="D93" s="44" t="s">
        <v>126</v>
      </c>
      <c r="E93" s="47">
        <v>14852</v>
      </c>
      <c r="F93" s="46" t="s">
        <v>1172</v>
      </c>
      <c r="G93" s="35">
        <f>5024*3</f>
        <v>15072</v>
      </c>
      <c r="H93" s="35">
        <f>5024*3</f>
        <v>15072</v>
      </c>
    </row>
    <row r="94" spans="1:8" s="15" customFormat="1" ht="26.1" customHeight="1" x14ac:dyDescent="0.2">
      <c r="A94" s="1" t="s">
        <v>1193</v>
      </c>
      <c r="B94" s="43" t="s">
        <v>101</v>
      </c>
      <c r="C94" s="46" t="s">
        <v>35</v>
      </c>
      <c r="D94" s="44" t="s">
        <v>123</v>
      </c>
      <c r="E94" s="34">
        <v>12536</v>
      </c>
      <c r="F94" s="46" t="s">
        <v>134</v>
      </c>
      <c r="G94" s="35">
        <f>5039*3</f>
        <v>15117</v>
      </c>
      <c r="H94" s="35">
        <f>5039*3</f>
        <v>15117</v>
      </c>
    </row>
    <row r="95" spans="1:8" s="15" customFormat="1" ht="26.1" customHeight="1" x14ac:dyDescent="0.2">
      <c r="A95" s="1" t="s">
        <v>1193</v>
      </c>
      <c r="B95" s="43" t="s">
        <v>109</v>
      </c>
      <c r="C95" s="46" t="s">
        <v>92</v>
      </c>
      <c r="D95" s="44" t="s">
        <v>82</v>
      </c>
      <c r="E95" s="47">
        <v>12883</v>
      </c>
      <c r="F95" s="46" t="s">
        <v>141</v>
      </c>
      <c r="G95" s="35">
        <v>15216</v>
      </c>
      <c r="H95" s="35">
        <v>15216</v>
      </c>
    </row>
    <row r="96" spans="1:8" s="15" customFormat="1" ht="26.1" customHeight="1" x14ac:dyDescent="0.2">
      <c r="A96" s="1" t="s">
        <v>1193</v>
      </c>
      <c r="B96" s="43" t="s">
        <v>1139</v>
      </c>
      <c r="C96" s="46" t="s">
        <v>92</v>
      </c>
      <c r="D96" s="44" t="s">
        <v>82</v>
      </c>
      <c r="E96" s="47">
        <v>14801</v>
      </c>
      <c r="F96" s="46" t="s">
        <v>1149</v>
      </c>
      <c r="G96" s="35">
        <f>5159*3</f>
        <v>15477</v>
      </c>
      <c r="H96" s="35">
        <f>5159*3</f>
        <v>15477</v>
      </c>
    </row>
    <row r="97" spans="1:8" s="15" customFormat="1" ht="26.1" customHeight="1" x14ac:dyDescent="0.2">
      <c r="A97" s="1" t="s">
        <v>1193</v>
      </c>
      <c r="B97" s="43" t="s">
        <v>113</v>
      </c>
      <c r="C97" s="46" t="s">
        <v>92</v>
      </c>
      <c r="D97" s="44" t="s">
        <v>43</v>
      </c>
      <c r="E97" s="47">
        <v>12890</v>
      </c>
      <c r="F97" s="46" t="s">
        <v>145</v>
      </c>
      <c r="G97" s="35">
        <v>15479</v>
      </c>
      <c r="H97" s="35">
        <v>15479</v>
      </c>
    </row>
    <row r="98" spans="1:8" s="15" customFormat="1" ht="26.1" customHeight="1" x14ac:dyDescent="0.2">
      <c r="A98" s="1" t="s">
        <v>1193</v>
      </c>
      <c r="B98" s="43" t="s">
        <v>839</v>
      </c>
      <c r="C98" s="46" t="s">
        <v>21</v>
      </c>
      <c r="D98" s="44" t="s">
        <v>847</v>
      </c>
      <c r="E98" s="47">
        <v>14120</v>
      </c>
      <c r="F98" s="46" t="s">
        <v>855</v>
      </c>
      <c r="G98" s="35">
        <v>15730</v>
      </c>
      <c r="H98" s="35">
        <v>15730</v>
      </c>
    </row>
    <row r="99" spans="1:8" s="15" customFormat="1" ht="26.1" customHeight="1" x14ac:dyDescent="0.2">
      <c r="A99" s="1" t="s">
        <v>1193</v>
      </c>
      <c r="B99" s="43" t="s">
        <v>365</v>
      </c>
      <c r="C99" s="46" t="s">
        <v>21</v>
      </c>
      <c r="D99" s="44" t="s">
        <v>374</v>
      </c>
      <c r="E99" s="54">
        <v>13226</v>
      </c>
      <c r="F99" s="46" t="s">
        <v>380</v>
      </c>
      <c r="G99" s="35">
        <v>15960</v>
      </c>
      <c r="H99" s="40">
        <v>15960</v>
      </c>
    </row>
    <row r="100" spans="1:8" s="15" customFormat="1" ht="26.1" customHeight="1" x14ac:dyDescent="0.2">
      <c r="A100" s="1" t="s">
        <v>1193</v>
      </c>
      <c r="B100" s="43" t="s">
        <v>102</v>
      </c>
      <c r="C100" s="46" t="s">
        <v>35</v>
      </c>
      <c r="D100" s="44" t="s">
        <v>39</v>
      </c>
      <c r="E100" s="54" t="s">
        <v>132</v>
      </c>
      <c r="F100" s="46" t="s">
        <v>135</v>
      </c>
      <c r="G100" s="35">
        <f>8000+8000</f>
        <v>16000</v>
      </c>
      <c r="H100" s="40">
        <v>17000</v>
      </c>
    </row>
    <row r="101" spans="1:8" s="15" customFormat="1" ht="26.1" customHeight="1" x14ac:dyDescent="0.2">
      <c r="A101" s="1" t="s">
        <v>1193</v>
      </c>
      <c r="B101" s="43" t="s">
        <v>898</v>
      </c>
      <c r="C101" s="46" t="s">
        <v>23</v>
      </c>
      <c r="D101" s="44" t="s">
        <v>902</v>
      </c>
      <c r="E101" s="54" t="s">
        <v>906</v>
      </c>
      <c r="F101" s="46" t="s">
        <v>907</v>
      </c>
      <c r="G101" s="35">
        <f>8000+8000</f>
        <v>16000</v>
      </c>
      <c r="H101" s="35">
        <v>34577</v>
      </c>
    </row>
    <row r="102" spans="1:8" s="15" customFormat="1" ht="26.1" customHeight="1" x14ac:dyDescent="0.2">
      <c r="A102" s="1" t="s">
        <v>1193</v>
      </c>
      <c r="B102" s="43" t="s">
        <v>931</v>
      </c>
      <c r="C102" s="46" t="s">
        <v>21</v>
      </c>
      <c r="D102" s="44" t="s">
        <v>947</v>
      </c>
      <c r="E102" s="47">
        <v>14222</v>
      </c>
      <c r="F102" s="46" t="s">
        <v>950</v>
      </c>
      <c r="G102" s="35">
        <f>8000+8000</f>
        <v>16000</v>
      </c>
      <c r="H102" s="35">
        <v>16250</v>
      </c>
    </row>
    <row r="103" spans="1:8" s="15" customFormat="1" ht="26.1" customHeight="1" x14ac:dyDescent="0.2">
      <c r="A103" s="1" t="s">
        <v>1193</v>
      </c>
      <c r="B103" s="43" t="s">
        <v>552</v>
      </c>
      <c r="C103" s="46" t="s">
        <v>19</v>
      </c>
      <c r="D103" s="44" t="s">
        <v>317</v>
      </c>
      <c r="E103" s="47">
        <v>13704</v>
      </c>
      <c r="F103" s="46" t="s">
        <v>571</v>
      </c>
      <c r="G103" s="35">
        <v>16331</v>
      </c>
      <c r="H103" s="35">
        <v>6788</v>
      </c>
    </row>
    <row r="104" spans="1:8" s="15" customFormat="1" ht="26.1" customHeight="1" x14ac:dyDescent="0.2">
      <c r="A104" s="1" t="s">
        <v>1193</v>
      </c>
      <c r="B104" s="43" t="s">
        <v>793</v>
      </c>
      <c r="C104" s="46" t="s">
        <v>19</v>
      </c>
      <c r="D104" s="44" t="s">
        <v>805</v>
      </c>
      <c r="E104" s="47">
        <v>13623</v>
      </c>
      <c r="F104" s="46" t="s">
        <v>808</v>
      </c>
      <c r="G104" s="35">
        <v>16424</v>
      </c>
      <c r="H104" s="35">
        <v>16424</v>
      </c>
    </row>
    <row r="105" spans="1:8" s="15" customFormat="1" ht="26.1" customHeight="1" x14ac:dyDescent="0.2">
      <c r="A105" s="1" t="s">
        <v>1193</v>
      </c>
      <c r="B105" s="43" t="s">
        <v>234</v>
      </c>
      <c r="C105" s="46" t="s">
        <v>20</v>
      </c>
      <c r="D105" s="44" t="s">
        <v>255</v>
      </c>
      <c r="E105" s="47">
        <v>13037</v>
      </c>
      <c r="F105" s="46" t="s">
        <v>271</v>
      </c>
      <c r="G105" s="35">
        <f>5500*3</f>
        <v>16500</v>
      </c>
      <c r="H105" s="35">
        <f>5500*3</f>
        <v>16500</v>
      </c>
    </row>
    <row r="106" spans="1:8" s="15" customFormat="1" ht="26.1" customHeight="1" x14ac:dyDescent="0.2">
      <c r="A106" s="1" t="s">
        <v>1193</v>
      </c>
      <c r="B106" s="43" t="s">
        <v>1160</v>
      </c>
      <c r="C106" s="46" t="s">
        <v>36</v>
      </c>
      <c r="D106" s="44" t="s">
        <v>1166</v>
      </c>
      <c r="E106" s="47">
        <v>14922</v>
      </c>
      <c r="F106" s="46" t="s">
        <v>1176</v>
      </c>
      <c r="G106" s="35">
        <v>16627</v>
      </c>
      <c r="H106" s="35">
        <v>16627</v>
      </c>
    </row>
    <row r="107" spans="1:8" s="15" customFormat="1" ht="26.1" customHeight="1" x14ac:dyDescent="0.2">
      <c r="A107" s="1" t="s">
        <v>1193</v>
      </c>
      <c r="B107" s="43" t="s">
        <v>394</v>
      </c>
      <c r="C107" s="46" t="s">
        <v>21</v>
      </c>
      <c r="D107" s="44" t="s">
        <v>399</v>
      </c>
      <c r="E107" s="47">
        <v>13341</v>
      </c>
      <c r="F107" s="46" t="s">
        <v>406</v>
      </c>
      <c r="G107" s="35">
        <v>17295</v>
      </c>
      <c r="H107" s="35">
        <v>17295</v>
      </c>
    </row>
    <row r="108" spans="1:8" s="15" customFormat="1" ht="26.1" customHeight="1" x14ac:dyDescent="0.2">
      <c r="A108" s="1" t="s">
        <v>1193</v>
      </c>
      <c r="B108" s="43" t="s">
        <v>249</v>
      </c>
      <c r="C108" s="46" t="s">
        <v>21</v>
      </c>
      <c r="D108" s="44" t="s">
        <v>267</v>
      </c>
      <c r="E108" s="47">
        <v>13223</v>
      </c>
      <c r="F108" s="46" t="s">
        <v>283</v>
      </c>
      <c r="G108" s="35">
        <v>17578</v>
      </c>
      <c r="H108" s="35">
        <v>17578</v>
      </c>
    </row>
    <row r="109" spans="1:8" s="15" customFormat="1" ht="26.1" customHeight="1" x14ac:dyDescent="0.2">
      <c r="A109" s="1" t="s">
        <v>1193</v>
      </c>
      <c r="B109" s="43" t="s">
        <v>703</v>
      </c>
      <c r="C109" s="46" t="s">
        <v>19</v>
      </c>
      <c r="D109" s="44" t="s">
        <v>713</v>
      </c>
      <c r="E109" s="47">
        <v>13624</v>
      </c>
      <c r="F109" s="46" t="s">
        <v>720</v>
      </c>
      <c r="G109" s="35">
        <v>17915</v>
      </c>
      <c r="H109" s="35">
        <v>17915</v>
      </c>
    </row>
    <row r="110" spans="1:8" s="15" customFormat="1" ht="26.1" customHeight="1" x14ac:dyDescent="0.2">
      <c r="A110" s="1" t="s">
        <v>1193</v>
      </c>
      <c r="B110" s="43" t="s">
        <v>370</v>
      </c>
      <c r="C110" s="46" t="s">
        <v>69</v>
      </c>
      <c r="D110" s="44" t="s">
        <v>377</v>
      </c>
      <c r="E110" s="47">
        <v>13367</v>
      </c>
      <c r="F110" s="46" t="s">
        <v>385</v>
      </c>
      <c r="G110" s="35">
        <v>18000</v>
      </c>
      <c r="H110" s="40">
        <v>18000</v>
      </c>
    </row>
    <row r="111" spans="1:8" s="15" customFormat="1" ht="26.1" customHeight="1" x14ac:dyDescent="0.2">
      <c r="A111" s="1" t="s">
        <v>1193</v>
      </c>
      <c r="B111" s="43" t="s">
        <v>753</v>
      </c>
      <c r="C111" s="46" t="s">
        <v>35</v>
      </c>
      <c r="D111" s="44" t="s">
        <v>400</v>
      </c>
      <c r="E111" s="47">
        <v>13898</v>
      </c>
      <c r="F111" s="46" t="s">
        <v>402</v>
      </c>
      <c r="G111" s="35">
        <v>18000</v>
      </c>
      <c r="H111" s="35">
        <v>18000</v>
      </c>
    </row>
    <row r="112" spans="1:8" s="15" customFormat="1" ht="26.1" customHeight="1" x14ac:dyDescent="0.2">
      <c r="A112" s="1" t="s">
        <v>1193</v>
      </c>
      <c r="B112" s="43" t="s">
        <v>980</v>
      </c>
      <c r="C112" s="46" t="s">
        <v>20</v>
      </c>
      <c r="D112" s="44" t="s">
        <v>989</v>
      </c>
      <c r="E112" s="47">
        <v>14510</v>
      </c>
      <c r="F112" s="46" t="s">
        <v>1001</v>
      </c>
      <c r="G112" s="35">
        <f>6000*3</f>
        <v>18000</v>
      </c>
      <c r="H112" s="35">
        <f>6000*3</f>
        <v>18000</v>
      </c>
    </row>
    <row r="113" spans="1:8" s="15" customFormat="1" ht="26.1" customHeight="1" x14ac:dyDescent="0.2">
      <c r="A113" s="1" t="s">
        <v>1193</v>
      </c>
      <c r="B113" s="43" t="s">
        <v>1083</v>
      </c>
      <c r="C113" s="46" t="s">
        <v>20</v>
      </c>
      <c r="D113" s="44" t="s">
        <v>255</v>
      </c>
      <c r="E113" s="54" t="s">
        <v>1097</v>
      </c>
      <c r="F113" s="46" t="s">
        <v>1098</v>
      </c>
      <c r="G113" s="35">
        <f>6000*3</f>
        <v>18000</v>
      </c>
      <c r="H113" s="35">
        <v>5500</v>
      </c>
    </row>
    <row r="114" spans="1:8" s="15" customFormat="1" ht="26.1" customHeight="1" x14ac:dyDescent="0.2">
      <c r="A114" s="1" t="s">
        <v>1193</v>
      </c>
      <c r="B114" s="43" t="s">
        <v>1136</v>
      </c>
      <c r="C114" s="46" t="s">
        <v>1140</v>
      </c>
      <c r="D114" s="44" t="s">
        <v>1142</v>
      </c>
      <c r="E114" s="47">
        <v>14786</v>
      </c>
      <c r="F114" s="46" t="s">
        <v>1146</v>
      </c>
      <c r="G114" s="35">
        <f>6000*3</f>
        <v>18000</v>
      </c>
      <c r="H114" s="35">
        <f>6000*3</f>
        <v>18000</v>
      </c>
    </row>
    <row r="115" spans="1:8" s="15" customFormat="1" ht="26.1" customHeight="1" x14ac:dyDescent="0.2">
      <c r="A115" s="1" t="s">
        <v>1193</v>
      </c>
      <c r="B115" s="43" t="s">
        <v>707</v>
      </c>
      <c r="C115" s="46" t="s">
        <v>19</v>
      </c>
      <c r="D115" s="44" t="s">
        <v>716</v>
      </c>
      <c r="E115" s="47">
        <v>13862</v>
      </c>
      <c r="F115" s="46" t="s">
        <v>724</v>
      </c>
      <c r="G115" s="35">
        <v>18128</v>
      </c>
      <c r="H115" s="35">
        <v>18128</v>
      </c>
    </row>
    <row r="116" spans="1:8" s="15" customFormat="1" ht="26.1" customHeight="1" x14ac:dyDescent="0.2">
      <c r="A116" s="1" t="s">
        <v>1193</v>
      </c>
      <c r="B116" s="43" t="s">
        <v>626</v>
      </c>
      <c r="C116" s="46" t="s">
        <v>21</v>
      </c>
      <c r="D116" s="44" t="s">
        <v>641</v>
      </c>
      <c r="E116" s="47">
        <v>13787</v>
      </c>
      <c r="F116" s="46" t="s">
        <v>651</v>
      </c>
      <c r="G116" s="35">
        <v>18500</v>
      </c>
      <c r="H116" s="35">
        <v>18500</v>
      </c>
    </row>
    <row r="117" spans="1:8" s="15" customFormat="1" ht="26.1" customHeight="1" x14ac:dyDescent="0.2">
      <c r="A117" s="1" t="s">
        <v>1193</v>
      </c>
      <c r="B117" s="43" t="s">
        <v>119</v>
      </c>
      <c r="C117" s="46" t="s">
        <v>19</v>
      </c>
      <c r="D117" s="44" t="s">
        <v>131</v>
      </c>
      <c r="E117" s="54">
        <v>12922</v>
      </c>
      <c r="F117" s="46" t="s">
        <v>153</v>
      </c>
      <c r="G117" s="35">
        <v>20000</v>
      </c>
      <c r="H117" s="35">
        <v>20000</v>
      </c>
    </row>
    <row r="118" spans="1:8" s="15" customFormat="1" ht="26.1" customHeight="1" x14ac:dyDescent="0.2">
      <c r="A118" s="1" t="s">
        <v>1193</v>
      </c>
      <c r="B118" s="43" t="s">
        <v>308</v>
      </c>
      <c r="C118" s="46" t="s">
        <v>19</v>
      </c>
      <c r="D118" s="44" t="s">
        <v>83</v>
      </c>
      <c r="E118" s="47">
        <v>13280</v>
      </c>
      <c r="F118" s="46" t="s">
        <v>330</v>
      </c>
      <c r="G118" s="35">
        <v>20000</v>
      </c>
      <c r="H118" s="35">
        <v>20000</v>
      </c>
    </row>
    <row r="119" spans="1:8" s="15" customFormat="1" ht="26.1" customHeight="1" x14ac:dyDescent="0.2">
      <c r="A119" s="1" t="s">
        <v>1193</v>
      </c>
      <c r="B119" s="43" t="s">
        <v>608</v>
      </c>
      <c r="C119" s="46" t="s">
        <v>92</v>
      </c>
      <c r="D119" s="44" t="s">
        <v>29</v>
      </c>
      <c r="E119" s="54" t="s">
        <v>614</v>
      </c>
      <c r="F119" s="46" t="s">
        <v>617</v>
      </c>
      <c r="G119" s="35">
        <v>20000</v>
      </c>
      <c r="H119" s="35">
        <v>79260</v>
      </c>
    </row>
    <row r="120" spans="1:8" s="15" customFormat="1" ht="26.1" customHeight="1" x14ac:dyDescent="0.2">
      <c r="A120" s="1" t="s">
        <v>1193</v>
      </c>
      <c r="B120" s="43" t="s">
        <v>622</v>
      </c>
      <c r="C120" s="46" t="s">
        <v>19</v>
      </c>
      <c r="D120" s="44" t="s">
        <v>131</v>
      </c>
      <c r="E120" s="54" t="s">
        <v>661</v>
      </c>
      <c r="F120" s="46" t="s">
        <v>665</v>
      </c>
      <c r="G120" s="35">
        <v>20000</v>
      </c>
      <c r="H120" s="35">
        <v>20000</v>
      </c>
    </row>
    <row r="121" spans="1:8" s="15" customFormat="1" ht="26.1" customHeight="1" x14ac:dyDescent="0.2">
      <c r="A121" s="1" t="s">
        <v>1193</v>
      </c>
      <c r="B121" s="43" t="s">
        <v>705</v>
      </c>
      <c r="C121" s="46" t="s">
        <v>19</v>
      </c>
      <c r="D121" s="44" t="s">
        <v>714</v>
      </c>
      <c r="E121" s="47">
        <v>13856</v>
      </c>
      <c r="F121" s="46" t="s">
        <v>722</v>
      </c>
      <c r="G121" s="35">
        <v>20000</v>
      </c>
      <c r="H121" s="35">
        <v>20000</v>
      </c>
    </row>
    <row r="122" spans="1:8" s="15" customFormat="1" ht="26.1" customHeight="1" x14ac:dyDescent="0.2">
      <c r="A122" s="1" t="s">
        <v>1193</v>
      </c>
      <c r="B122" s="43" t="s">
        <v>798</v>
      </c>
      <c r="C122" s="46" t="s">
        <v>19</v>
      </c>
      <c r="D122" s="44" t="s">
        <v>46</v>
      </c>
      <c r="E122" s="47">
        <v>13760</v>
      </c>
      <c r="F122" s="46" t="s">
        <v>813</v>
      </c>
      <c r="G122" s="35">
        <v>20000</v>
      </c>
      <c r="H122" s="35">
        <v>20000</v>
      </c>
    </row>
    <row r="123" spans="1:8" s="15" customFormat="1" ht="26.1" customHeight="1" x14ac:dyDescent="0.2">
      <c r="A123" s="1" t="s">
        <v>1193</v>
      </c>
      <c r="B123" s="43" t="s">
        <v>366</v>
      </c>
      <c r="C123" s="46" t="s">
        <v>30</v>
      </c>
      <c r="D123" s="44" t="s">
        <v>375</v>
      </c>
      <c r="E123" s="47">
        <v>13263</v>
      </c>
      <c r="F123" s="46" t="s">
        <v>381</v>
      </c>
      <c r="G123" s="35">
        <v>20200</v>
      </c>
      <c r="H123" s="35">
        <v>20200</v>
      </c>
    </row>
    <row r="124" spans="1:8" s="15" customFormat="1" ht="26.1" customHeight="1" x14ac:dyDescent="0.2">
      <c r="A124" s="1" t="s">
        <v>1193</v>
      </c>
      <c r="B124" s="43" t="s">
        <v>397</v>
      </c>
      <c r="C124" s="46" t="s">
        <v>69</v>
      </c>
      <c r="D124" s="44" t="s">
        <v>401</v>
      </c>
      <c r="E124" s="47">
        <v>13449</v>
      </c>
      <c r="F124" s="46" t="s">
        <v>404</v>
      </c>
      <c r="G124" s="35">
        <v>20475</v>
      </c>
      <c r="H124" s="35">
        <v>20475</v>
      </c>
    </row>
    <row r="125" spans="1:8" s="15" customFormat="1" ht="26.1" customHeight="1" x14ac:dyDescent="0.2">
      <c r="A125" s="1" t="s">
        <v>1193</v>
      </c>
      <c r="B125" s="43" t="s">
        <v>595</v>
      </c>
      <c r="C125" s="46" t="s">
        <v>21</v>
      </c>
      <c r="D125" s="44" t="s">
        <v>603</v>
      </c>
      <c r="E125" s="47">
        <v>13788</v>
      </c>
      <c r="F125" s="46" t="s">
        <v>607</v>
      </c>
      <c r="G125" s="35">
        <v>20901</v>
      </c>
      <c r="H125" s="35">
        <v>20901</v>
      </c>
    </row>
    <row r="126" spans="1:8" s="15" customFormat="1" ht="26.1" customHeight="1" x14ac:dyDescent="0.2">
      <c r="A126" s="1" t="s">
        <v>1193</v>
      </c>
      <c r="B126" s="43" t="s">
        <v>461</v>
      </c>
      <c r="C126" s="46" t="s">
        <v>69</v>
      </c>
      <c r="D126" s="44" t="s">
        <v>476</v>
      </c>
      <c r="E126" s="47">
        <v>13606</v>
      </c>
      <c r="F126" s="46" t="s">
        <v>488</v>
      </c>
      <c r="G126" s="35">
        <v>20940</v>
      </c>
      <c r="H126" s="35">
        <v>40000</v>
      </c>
    </row>
    <row r="127" spans="1:8" s="15" customFormat="1" ht="26.1" customHeight="1" x14ac:dyDescent="0.2">
      <c r="A127" s="1" t="s">
        <v>1193</v>
      </c>
      <c r="B127" s="43" t="s">
        <v>1088</v>
      </c>
      <c r="C127" s="46" t="s">
        <v>69</v>
      </c>
      <c r="D127" s="44" t="s">
        <v>1094</v>
      </c>
      <c r="E127" s="47">
        <v>14618</v>
      </c>
      <c r="F127" s="46" t="s">
        <v>1102</v>
      </c>
      <c r="G127" s="35">
        <f>6995*3</f>
        <v>20985</v>
      </c>
      <c r="H127" s="35">
        <f>6995*3</f>
        <v>20985</v>
      </c>
    </row>
    <row r="128" spans="1:8" s="15" customFormat="1" ht="26.1" customHeight="1" x14ac:dyDescent="0.2">
      <c r="A128" s="1" t="s">
        <v>1193</v>
      </c>
      <c r="B128" s="43" t="s">
        <v>1013</v>
      </c>
      <c r="C128" s="46" t="s">
        <v>25</v>
      </c>
      <c r="D128" s="44" t="s">
        <v>1027</v>
      </c>
      <c r="E128" s="47">
        <v>14495</v>
      </c>
      <c r="F128" s="46" t="s">
        <v>1040</v>
      </c>
      <c r="G128" s="35">
        <f>7000*3</f>
        <v>21000</v>
      </c>
      <c r="H128" s="35">
        <f>7000*3</f>
        <v>21000</v>
      </c>
    </row>
    <row r="129" spans="1:8" s="15" customFormat="1" ht="26.1" customHeight="1" x14ac:dyDescent="0.2">
      <c r="A129" s="1" t="s">
        <v>1193</v>
      </c>
      <c r="B129" s="43" t="s">
        <v>593</v>
      </c>
      <c r="C129" s="46" t="s">
        <v>19</v>
      </c>
      <c r="D129" s="44" t="s">
        <v>601</v>
      </c>
      <c r="E129" s="47">
        <v>13775</v>
      </c>
      <c r="F129" s="46" t="s">
        <v>668</v>
      </c>
      <c r="G129" s="35">
        <v>21230</v>
      </c>
      <c r="H129" s="35">
        <v>21230</v>
      </c>
    </row>
    <row r="130" spans="1:8" s="15" customFormat="1" ht="26.1" customHeight="1" x14ac:dyDescent="0.2">
      <c r="A130" s="1" t="s">
        <v>1193</v>
      </c>
      <c r="B130" s="43" t="s">
        <v>121</v>
      </c>
      <c r="C130" s="46" t="s">
        <v>23</v>
      </c>
      <c r="D130" s="44" t="s">
        <v>40</v>
      </c>
      <c r="E130" s="54" t="s">
        <v>133</v>
      </c>
      <c r="F130" s="46" t="s">
        <v>44</v>
      </c>
      <c r="G130" s="35">
        <f>10719+10719</f>
        <v>21438</v>
      </c>
      <c r="H130" s="35">
        <v>26211</v>
      </c>
    </row>
    <row r="131" spans="1:8" s="15" customFormat="1" ht="26.1" customHeight="1" x14ac:dyDescent="0.2">
      <c r="A131" s="1" t="s">
        <v>1193</v>
      </c>
      <c r="B131" s="43" t="s">
        <v>111</v>
      </c>
      <c r="C131" s="46" t="s">
        <v>92</v>
      </c>
      <c r="D131" s="44" t="s">
        <v>82</v>
      </c>
      <c r="E131" s="47">
        <v>12887</v>
      </c>
      <c r="F131" s="46" t="s">
        <v>143</v>
      </c>
      <c r="G131" s="35">
        <v>21839</v>
      </c>
      <c r="H131" s="35">
        <v>21839</v>
      </c>
    </row>
    <row r="132" spans="1:8" s="15" customFormat="1" ht="26.1" customHeight="1" x14ac:dyDescent="0.2">
      <c r="A132" s="1" t="s">
        <v>1193</v>
      </c>
      <c r="B132" s="43" t="s">
        <v>708</v>
      </c>
      <c r="C132" s="46" t="s">
        <v>92</v>
      </c>
      <c r="D132" s="44" t="s">
        <v>82</v>
      </c>
      <c r="E132" s="47">
        <v>13863</v>
      </c>
      <c r="F132" s="46" t="s">
        <v>725</v>
      </c>
      <c r="G132" s="35">
        <v>21839</v>
      </c>
      <c r="H132" s="35">
        <v>21839</v>
      </c>
    </row>
    <row r="133" spans="1:8" s="15" customFormat="1" ht="26.1" customHeight="1" x14ac:dyDescent="0.2">
      <c r="A133" s="1" t="s">
        <v>1193</v>
      </c>
      <c r="B133" s="43" t="s">
        <v>1156</v>
      </c>
      <c r="C133" s="46" t="s">
        <v>20</v>
      </c>
      <c r="D133" s="44" t="s">
        <v>1163</v>
      </c>
      <c r="E133" s="47">
        <v>14885</v>
      </c>
      <c r="F133" s="46" t="s">
        <v>1174</v>
      </c>
      <c r="G133" s="35">
        <f>7290*3</f>
        <v>21870</v>
      </c>
      <c r="H133" s="35">
        <f>7290*3</f>
        <v>21870</v>
      </c>
    </row>
    <row r="134" spans="1:8" s="15" customFormat="1" ht="26.1" customHeight="1" x14ac:dyDescent="0.2">
      <c r="A134" s="1" t="s">
        <v>1193</v>
      </c>
      <c r="B134" s="43" t="s">
        <v>1021</v>
      </c>
      <c r="C134" s="46" t="s">
        <v>21</v>
      </c>
      <c r="D134" s="44" t="s">
        <v>1034</v>
      </c>
      <c r="E134" s="47">
        <v>14553</v>
      </c>
      <c r="F134" s="46" t="s">
        <v>1047</v>
      </c>
      <c r="G134" s="35">
        <v>22000</v>
      </c>
      <c r="H134" s="35">
        <v>22000</v>
      </c>
    </row>
    <row r="135" spans="1:8" s="15" customFormat="1" ht="26.1" customHeight="1" x14ac:dyDescent="0.2">
      <c r="A135" s="1" t="s">
        <v>1193</v>
      </c>
      <c r="B135" s="43" t="s">
        <v>1137</v>
      </c>
      <c r="C135" s="46" t="s">
        <v>30</v>
      </c>
      <c r="D135" s="44" t="s">
        <v>1143</v>
      </c>
      <c r="E135" s="47">
        <v>14730</v>
      </c>
      <c r="F135" s="46" t="s">
        <v>1147</v>
      </c>
      <c r="G135" s="35">
        <v>22189</v>
      </c>
      <c r="H135" s="35">
        <v>22189</v>
      </c>
    </row>
    <row r="136" spans="1:8" s="15" customFormat="1" ht="26.1" customHeight="1" x14ac:dyDescent="0.2">
      <c r="A136" s="1" t="s">
        <v>1193</v>
      </c>
      <c r="B136" s="43" t="s">
        <v>396</v>
      </c>
      <c r="C136" s="46" t="s">
        <v>69</v>
      </c>
      <c r="D136" s="44" t="s">
        <v>84</v>
      </c>
      <c r="E136" s="47">
        <v>13411</v>
      </c>
      <c r="F136" s="46" t="s">
        <v>403</v>
      </c>
      <c r="G136" s="35">
        <v>22371</v>
      </c>
      <c r="H136" s="35">
        <v>22371</v>
      </c>
    </row>
    <row r="137" spans="1:8" s="15" customFormat="1" ht="26.1" customHeight="1" x14ac:dyDescent="0.2">
      <c r="A137" s="1" t="s">
        <v>1193</v>
      </c>
      <c r="B137" s="43" t="s">
        <v>619</v>
      </c>
      <c r="C137" s="46" t="s">
        <v>19</v>
      </c>
      <c r="D137" s="44" t="s">
        <v>637</v>
      </c>
      <c r="E137" s="47">
        <v>13774</v>
      </c>
      <c r="F137" s="46" t="s">
        <v>667</v>
      </c>
      <c r="G137" s="35">
        <v>22400</v>
      </c>
      <c r="H137" s="35">
        <v>22400</v>
      </c>
    </row>
    <row r="138" spans="1:8" s="15" customFormat="1" ht="26.1" customHeight="1" x14ac:dyDescent="0.2">
      <c r="A138" s="1" t="s">
        <v>1193</v>
      </c>
      <c r="B138" s="43" t="s">
        <v>860</v>
      </c>
      <c r="C138" s="46" t="s">
        <v>69</v>
      </c>
      <c r="D138" s="44" t="s">
        <v>862</v>
      </c>
      <c r="E138" s="47">
        <v>14197</v>
      </c>
      <c r="F138" s="46" t="s">
        <v>866</v>
      </c>
      <c r="G138" s="35">
        <f>12638+5000+5000</f>
        <v>22638</v>
      </c>
      <c r="H138" s="35">
        <f>12638+5000+5000</f>
        <v>22638</v>
      </c>
    </row>
    <row r="139" spans="1:8" s="15" customFormat="1" ht="26.1" customHeight="1" x14ac:dyDescent="0.2">
      <c r="A139" s="1" t="s">
        <v>1193</v>
      </c>
      <c r="B139" s="43" t="s">
        <v>310</v>
      </c>
      <c r="C139" s="46" t="s">
        <v>69</v>
      </c>
      <c r="D139" s="44" t="s">
        <v>318</v>
      </c>
      <c r="E139" s="54">
        <v>13295</v>
      </c>
      <c r="F139" s="46" t="s">
        <v>331</v>
      </c>
      <c r="G139" s="35">
        <v>23572</v>
      </c>
      <c r="H139" s="40">
        <v>23572</v>
      </c>
    </row>
    <row r="140" spans="1:8" s="15" customFormat="1" ht="26.1" customHeight="1" x14ac:dyDescent="0.2">
      <c r="A140" s="1" t="s">
        <v>1193</v>
      </c>
      <c r="B140" s="43" t="s">
        <v>1017</v>
      </c>
      <c r="C140" s="46" t="s">
        <v>69</v>
      </c>
      <c r="D140" s="44" t="s">
        <v>1030</v>
      </c>
      <c r="E140" s="47">
        <v>14545</v>
      </c>
      <c r="F140" s="46" t="s">
        <v>1043</v>
      </c>
      <c r="G140" s="35">
        <v>24125</v>
      </c>
      <c r="H140" s="35">
        <v>24125</v>
      </c>
    </row>
    <row r="141" spans="1:8" s="15" customFormat="1" ht="26.1" customHeight="1" x14ac:dyDescent="0.2">
      <c r="A141" s="1" t="s">
        <v>1193</v>
      </c>
      <c r="B141" s="43" t="s">
        <v>238</v>
      </c>
      <c r="C141" s="46" t="s">
        <v>62</v>
      </c>
      <c r="D141" s="44" t="s">
        <v>259</v>
      </c>
      <c r="E141" s="54">
        <v>13100</v>
      </c>
      <c r="F141" s="46" t="s">
        <v>274</v>
      </c>
      <c r="G141" s="35">
        <v>24350</v>
      </c>
      <c r="H141" s="35">
        <v>24350</v>
      </c>
    </row>
    <row r="142" spans="1:8" s="15" customFormat="1" ht="26.1" customHeight="1" x14ac:dyDescent="0.2">
      <c r="A142" s="1" t="s">
        <v>1193</v>
      </c>
      <c r="B142" s="43" t="s">
        <v>1115</v>
      </c>
      <c r="C142" s="46" t="s">
        <v>17</v>
      </c>
      <c r="D142" s="44" t="s">
        <v>1120</v>
      </c>
      <c r="E142" s="47">
        <v>14629</v>
      </c>
      <c r="F142" s="46" t="s">
        <v>1125</v>
      </c>
      <c r="G142" s="35">
        <v>24400</v>
      </c>
      <c r="H142" s="35">
        <v>24400</v>
      </c>
    </row>
    <row r="143" spans="1:8" s="15" customFormat="1" ht="26.1" customHeight="1" x14ac:dyDescent="0.2">
      <c r="A143" s="1" t="s">
        <v>1193</v>
      </c>
      <c r="B143" s="43" t="s">
        <v>520</v>
      </c>
      <c r="C143" s="46" t="s">
        <v>36</v>
      </c>
      <c r="D143" s="44" t="s">
        <v>528</v>
      </c>
      <c r="E143" s="54" t="s">
        <v>535</v>
      </c>
      <c r="F143" s="46" t="s">
        <v>542</v>
      </c>
      <c r="G143" s="35">
        <f>8138*3</f>
        <v>24414</v>
      </c>
      <c r="H143" s="35">
        <f>8138*3</f>
        <v>24414</v>
      </c>
    </row>
    <row r="144" spans="1:8" s="15" customFormat="1" ht="26.1" customHeight="1" x14ac:dyDescent="0.2">
      <c r="A144" s="1" t="s">
        <v>1193</v>
      </c>
      <c r="B144" s="43" t="s">
        <v>1016</v>
      </c>
      <c r="C144" s="46" t="s">
        <v>21</v>
      </c>
      <c r="D144" s="44" t="s">
        <v>32</v>
      </c>
      <c r="E144" s="47">
        <v>14499</v>
      </c>
      <c r="F144" s="46" t="s">
        <v>1042</v>
      </c>
      <c r="G144" s="35">
        <f>8152*3</f>
        <v>24456</v>
      </c>
      <c r="H144" s="35">
        <f>8152*3</f>
        <v>24456</v>
      </c>
    </row>
    <row r="145" spans="1:8" s="15" customFormat="1" ht="26.1" customHeight="1" x14ac:dyDescent="0.2">
      <c r="A145" s="1" t="s">
        <v>1193</v>
      </c>
      <c r="B145" s="43" t="s">
        <v>1087</v>
      </c>
      <c r="C145" s="46" t="s">
        <v>30</v>
      </c>
      <c r="D145" s="44" t="s">
        <v>1093</v>
      </c>
      <c r="E145" s="47">
        <v>14580</v>
      </c>
      <c r="F145" s="46" t="s">
        <v>1101</v>
      </c>
      <c r="G145" s="35">
        <v>24652</v>
      </c>
      <c r="H145" s="35">
        <v>24652</v>
      </c>
    </row>
    <row r="146" spans="1:8" s="15" customFormat="1" ht="26.1" customHeight="1" x14ac:dyDescent="0.2">
      <c r="A146" s="1" t="s">
        <v>1193</v>
      </c>
      <c r="B146" s="43" t="s">
        <v>417</v>
      </c>
      <c r="C146" s="46" t="s">
        <v>30</v>
      </c>
      <c r="D146" s="44" t="s">
        <v>424</v>
      </c>
      <c r="E146" s="47">
        <v>13450</v>
      </c>
      <c r="F146" s="46" t="s">
        <v>430</v>
      </c>
      <c r="G146" s="35">
        <v>24800</v>
      </c>
      <c r="H146" s="35">
        <v>24800</v>
      </c>
    </row>
    <row r="147" spans="1:8" s="15" customFormat="1" ht="26.1" customHeight="1" x14ac:dyDescent="0.2">
      <c r="A147" s="1" t="s">
        <v>1193</v>
      </c>
      <c r="B147" s="43" t="s">
        <v>108</v>
      </c>
      <c r="C147" s="46" t="s">
        <v>92</v>
      </c>
      <c r="D147" s="44" t="s">
        <v>43</v>
      </c>
      <c r="E147" s="47">
        <v>12882</v>
      </c>
      <c r="F147" s="46" t="s">
        <v>140</v>
      </c>
      <c r="G147" s="35">
        <v>24819</v>
      </c>
      <c r="H147" s="35">
        <v>24819</v>
      </c>
    </row>
    <row r="148" spans="1:8" s="15" customFormat="1" ht="26.1" customHeight="1" x14ac:dyDescent="0.2">
      <c r="A148" s="1" t="s">
        <v>1193</v>
      </c>
      <c r="B148" s="43" t="s">
        <v>527</v>
      </c>
      <c r="C148" s="46" t="s">
        <v>62</v>
      </c>
      <c r="D148" s="44" t="s">
        <v>534</v>
      </c>
      <c r="E148" s="47">
        <v>13346</v>
      </c>
      <c r="F148" s="46" t="s">
        <v>541</v>
      </c>
      <c r="G148" s="35">
        <v>24920</v>
      </c>
      <c r="H148" s="35">
        <v>24920</v>
      </c>
    </row>
    <row r="149" spans="1:8" s="15" customFormat="1" ht="26.1" customHeight="1" x14ac:dyDescent="0.2">
      <c r="A149" s="1" t="s">
        <v>1193</v>
      </c>
      <c r="B149" s="43" t="s">
        <v>245</v>
      </c>
      <c r="C149" s="46" t="s">
        <v>69</v>
      </c>
      <c r="D149" s="44" t="s">
        <v>264</v>
      </c>
      <c r="E149" s="47">
        <v>13196</v>
      </c>
      <c r="F149" s="46" t="s">
        <v>280</v>
      </c>
      <c r="G149" s="35">
        <v>25000</v>
      </c>
      <c r="H149" s="35">
        <v>25000</v>
      </c>
    </row>
    <row r="150" spans="1:8" s="15" customFormat="1" ht="26.1" customHeight="1" x14ac:dyDescent="0.2">
      <c r="A150" s="1" t="s">
        <v>1193</v>
      </c>
      <c r="B150" s="43" t="s">
        <v>418</v>
      </c>
      <c r="C150" s="46" t="s">
        <v>26</v>
      </c>
      <c r="D150" s="44" t="s">
        <v>425</v>
      </c>
      <c r="E150" s="47">
        <v>13460</v>
      </c>
      <c r="F150" s="46" t="s">
        <v>431</v>
      </c>
      <c r="G150" s="35">
        <v>25000</v>
      </c>
      <c r="H150" s="35">
        <v>25000</v>
      </c>
    </row>
    <row r="151" spans="1:8" s="15" customFormat="1" ht="26.1" customHeight="1" x14ac:dyDescent="0.2">
      <c r="A151" s="1" t="s">
        <v>1193</v>
      </c>
      <c r="B151" s="43" t="s">
        <v>710</v>
      </c>
      <c r="C151" s="46" t="s">
        <v>30</v>
      </c>
      <c r="D151" s="44" t="s">
        <v>717</v>
      </c>
      <c r="E151" s="47">
        <v>13906</v>
      </c>
      <c r="F151" s="46" t="s">
        <v>727</v>
      </c>
      <c r="G151" s="35">
        <v>25000</v>
      </c>
      <c r="H151" s="35">
        <v>25000</v>
      </c>
    </row>
    <row r="152" spans="1:8" s="15" customFormat="1" ht="26.1" customHeight="1" x14ac:dyDescent="0.2">
      <c r="A152" s="1" t="s">
        <v>1193</v>
      </c>
      <c r="B152" s="43" t="s">
        <v>733</v>
      </c>
      <c r="C152" s="46" t="s">
        <v>26</v>
      </c>
      <c r="D152" s="44" t="s">
        <v>740</v>
      </c>
      <c r="E152" s="54" t="s">
        <v>744</v>
      </c>
      <c r="F152" s="46" t="s">
        <v>748</v>
      </c>
      <c r="G152" s="35">
        <v>25000</v>
      </c>
      <c r="H152" s="35">
        <v>50000</v>
      </c>
    </row>
    <row r="153" spans="1:8" s="15" customFormat="1" ht="26.1" customHeight="1" x14ac:dyDescent="0.2">
      <c r="A153" s="1" t="s">
        <v>1193</v>
      </c>
      <c r="B153" s="43" t="s">
        <v>754</v>
      </c>
      <c r="C153" s="46" t="s">
        <v>19</v>
      </c>
      <c r="D153" s="44" t="s">
        <v>768</v>
      </c>
      <c r="E153" s="47">
        <v>14044</v>
      </c>
      <c r="F153" s="46" t="s">
        <v>779</v>
      </c>
      <c r="G153" s="35">
        <v>25000</v>
      </c>
      <c r="H153" s="35">
        <v>25000</v>
      </c>
    </row>
    <row r="154" spans="1:8" s="15" customFormat="1" ht="26.1" customHeight="1" x14ac:dyDescent="0.2">
      <c r="A154" s="1" t="s">
        <v>1193</v>
      </c>
      <c r="B154" s="43" t="s">
        <v>759</v>
      </c>
      <c r="C154" s="46" t="s">
        <v>21</v>
      </c>
      <c r="D154" s="44" t="s">
        <v>772</v>
      </c>
      <c r="E154" s="47">
        <v>14020</v>
      </c>
      <c r="F154" s="46" t="s">
        <v>784</v>
      </c>
      <c r="G154" s="35">
        <v>25000</v>
      </c>
      <c r="H154" s="35">
        <v>25000</v>
      </c>
    </row>
    <row r="155" spans="1:8" s="15" customFormat="1" ht="26.1" customHeight="1" x14ac:dyDescent="0.2">
      <c r="A155" s="1" t="s">
        <v>1193</v>
      </c>
      <c r="B155" s="43" t="s">
        <v>977</v>
      </c>
      <c r="C155" s="46" t="s">
        <v>22</v>
      </c>
      <c r="D155" s="44" t="s">
        <v>987</v>
      </c>
      <c r="E155" s="47">
        <v>14475</v>
      </c>
      <c r="F155" s="46" t="s">
        <v>998</v>
      </c>
      <c r="G155" s="35">
        <v>25000</v>
      </c>
      <c r="H155" s="35">
        <v>25000</v>
      </c>
    </row>
    <row r="156" spans="1:8" s="15" customFormat="1" ht="26.1" customHeight="1" x14ac:dyDescent="0.2">
      <c r="A156" s="1" t="s">
        <v>1193</v>
      </c>
      <c r="B156" s="43" t="s">
        <v>115</v>
      </c>
      <c r="C156" s="46" t="s">
        <v>19</v>
      </c>
      <c r="D156" s="44" t="s">
        <v>128</v>
      </c>
      <c r="E156" s="47">
        <v>12916</v>
      </c>
      <c r="F156" s="46" t="s">
        <v>147</v>
      </c>
      <c r="G156" s="35">
        <v>25001</v>
      </c>
      <c r="H156" s="35">
        <v>25001</v>
      </c>
    </row>
    <row r="157" spans="1:8" s="15" customFormat="1" ht="26.1" customHeight="1" x14ac:dyDescent="0.2">
      <c r="A157" s="1" t="s">
        <v>1193</v>
      </c>
      <c r="B157" s="43" t="s">
        <v>797</v>
      </c>
      <c r="C157" s="46" t="s">
        <v>19</v>
      </c>
      <c r="D157" s="44" t="s">
        <v>46</v>
      </c>
      <c r="E157" s="47">
        <v>13630</v>
      </c>
      <c r="F157" s="46" t="s">
        <v>812</v>
      </c>
      <c r="G157" s="35">
        <v>26010</v>
      </c>
      <c r="H157" s="35">
        <v>26010</v>
      </c>
    </row>
    <row r="158" spans="1:8" s="15" customFormat="1" ht="26.1" customHeight="1" x14ac:dyDescent="0.2">
      <c r="A158" s="1" t="s">
        <v>1193</v>
      </c>
      <c r="B158" s="43" t="s">
        <v>367</v>
      </c>
      <c r="C158" s="46" t="s">
        <v>372</v>
      </c>
      <c r="D158" s="44" t="s">
        <v>376</v>
      </c>
      <c r="E158" s="47">
        <v>13306</v>
      </c>
      <c r="F158" s="46" t="s">
        <v>382</v>
      </c>
      <c r="G158" s="35">
        <f>13098*2</f>
        <v>26196</v>
      </c>
      <c r="H158" s="35">
        <f>13098*2</f>
        <v>26196</v>
      </c>
    </row>
    <row r="159" spans="1:8" s="15" customFormat="1" ht="26.1" customHeight="1" x14ac:dyDescent="0.2">
      <c r="A159" s="1" t="s">
        <v>1193</v>
      </c>
      <c r="B159" s="43" t="s">
        <v>1024</v>
      </c>
      <c r="C159" s="46" t="s">
        <v>69</v>
      </c>
      <c r="D159" s="44" t="s">
        <v>1036</v>
      </c>
      <c r="E159" s="47">
        <v>14601</v>
      </c>
      <c r="F159" s="46" t="s">
        <v>1051</v>
      </c>
      <c r="G159" s="35">
        <f>8835*3</f>
        <v>26505</v>
      </c>
      <c r="H159" s="35">
        <f>8835*3</f>
        <v>26505</v>
      </c>
    </row>
    <row r="160" spans="1:8" s="15" customFormat="1" ht="26.1" customHeight="1" x14ac:dyDescent="0.2">
      <c r="A160" s="1" t="s">
        <v>1193</v>
      </c>
      <c r="B160" s="43" t="s">
        <v>302</v>
      </c>
      <c r="C160" s="46" t="s">
        <v>21</v>
      </c>
      <c r="D160" s="44" t="s">
        <v>314</v>
      </c>
      <c r="E160" s="47">
        <v>13168</v>
      </c>
      <c r="F160" s="46" t="s">
        <v>325</v>
      </c>
      <c r="G160" s="35">
        <v>26994</v>
      </c>
      <c r="H160" s="35">
        <v>26994</v>
      </c>
    </row>
    <row r="161" spans="1:8" s="15" customFormat="1" ht="26.1" customHeight="1" x14ac:dyDescent="0.2">
      <c r="A161" s="1" t="s">
        <v>1193</v>
      </c>
      <c r="B161" s="43" t="s">
        <v>628</v>
      </c>
      <c r="C161" s="46" t="s">
        <v>31</v>
      </c>
      <c r="D161" s="44" t="s">
        <v>642</v>
      </c>
      <c r="E161" s="47">
        <v>13797</v>
      </c>
      <c r="F161" s="46" t="s">
        <v>653</v>
      </c>
      <c r="G161" s="35">
        <f>13500*2</f>
        <v>27000</v>
      </c>
      <c r="H161" s="35">
        <f>13500*2</f>
        <v>27000</v>
      </c>
    </row>
    <row r="162" spans="1:8" s="15" customFormat="1" ht="26.1" customHeight="1" x14ac:dyDescent="0.2">
      <c r="A162" s="1" t="s">
        <v>1193</v>
      </c>
      <c r="B162" s="43" t="s">
        <v>1085</v>
      </c>
      <c r="C162" s="46" t="s">
        <v>20</v>
      </c>
      <c r="D162" s="44" t="s">
        <v>1092</v>
      </c>
      <c r="E162" s="47">
        <v>14517</v>
      </c>
      <c r="F162" s="46" t="s">
        <v>1099</v>
      </c>
      <c r="G162" s="35">
        <f>9000*3</f>
        <v>27000</v>
      </c>
      <c r="H162" s="35">
        <f>9000*3</f>
        <v>27000</v>
      </c>
    </row>
    <row r="163" spans="1:8" s="15" customFormat="1" ht="26.1" customHeight="1" x14ac:dyDescent="0.2">
      <c r="A163" s="1" t="s">
        <v>1193</v>
      </c>
      <c r="B163" s="43" t="s">
        <v>799</v>
      </c>
      <c r="C163" s="46" t="s">
        <v>19</v>
      </c>
      <c r="D163" s="44" t="s">
        <v>46</v>
      </c>
      <c r="E163" s="47">
        <v>13777</v>
      </c>
      <c r="F163" s="46" t="s">
        <v>814</v>
      </c>
      <c r="G163" s="35">
        <v>27030</v>
      </c>
      <c r="H163" s="35">
        <v>27030</v>
      </c>
    </row>
    <row r="164" spans="1:8" s="15" customFormat="1" ht="26.1" customHeight="1" x14ac:dyDescent="0.2">
      <c r="A164" s="1" t="s">
        <v>1193</v>
      </c>
      <c r="B164" s="43" t="s">
        <v>800</v>
      </c>
      <c r="C164" s="46" t="s">
        <v>19</v>
      </c>
      <c r="D164" s="44" t="s">
        <v>46</v>
      </c>
      <c r="E164" s="47">
        <v>13778</v>
      </c>
      <c r="F164" s="46" t="s">
        <v>815</v>
      </c>
      <c r="G164" s="35">
        <v>27090</v>
      </c>
      <c r="H164" s="35">
        <v>27090</v>
      </c>
    </row>
    <row r="165" spans="1:8" s="15" customFormat="1" ht="26.1" customHeight="1" x14ac:dyDescent="0.2">
      <c r="A165" s="1" t="s">
        <v>1193</v>
      </c>
      <c r="B165" s="43" t="s">
        <v>105</v>
      </c>
      <c r="C165" s="46" t="s">
        <v>92</v>
      </c>
      <c r="D165" s="44" t="s">
        <v>124</v>
      </c>
      <c r="E165" s="47">
        <v>12688</v>
      </c>
      <c r="F165" s="55" t="s">
        <v>139</v>
      </c>
      <c r="G165" s="35">
        <v>27414</v>
      </c>
      <c r="H165" s="40">
        <v>27414</v>
      </c>
    </row>
    <row r="166" spans="1:8" s="15" customFormat="1" ht="26.1" customHeight="1" x14ac:dyDescent="0.2">
      <c r="A166" s="1" t="s">
        <v>1193</v>
      </c>
      <c r="B166" s="43" t="s">
        <v>761</v>
      </c>
      <c r="C166" s="46" t="s">
        <v>19</v>
      </c>
      <c r="D166" s="44" t="s">
        <v>774</v>
      </c>
      <c r="E166" s="47">
        <v>14046</v>
      </c>
      <c r="F166" s="46" t="s">
        <v>786</v>
      </c>
      <c r="G166" s="35">
        <v>27846</v>
      </c>
      <c r="H166" s="35">
        <v>27846</v>
      </c>
    </row>
    <row r="167" spans="1:8" s="15" customFormat="1" ht="26.1" customHeight="1" x14ac:dyDescent="0.2">
      <c r="A167" s="1" t="s">
        <v>1193</v>
      </c>
      <c r="B167" s="43" t="s">
        <v>1014</v>
      </c>
      <c r="C167" s="46" t="s">
        <v>21</v>
      </c>
      <c r="D167" s="44" t="s">
        <v>1028</v>
      </c>
      <c r="E167" s="47">
        <v>14593</v>
      </c>
      <c r="F167" s="46" t="s">
        <v>1039</v>
      </c>
      <c r="G167" s="35">
        <f>8055+10000+10000</f>
        <v>28055</v>
      </c>
      <c r="H167" s="35">
        <f>8055+10000+10000</f>
        <v>28055</v>
      </c>
    </row>
    <row r="168" spans="1:8" s="15" customFormat="1" ht="26.1" customHeight="1" x14ac:dyDescent="0.2">
      <c r="A168" s="1" t="s">
        <v>1193</v>
      </c>
      <c r="B168" s="43" t="s">
        <v>472</v>
      </c>
      <c r="C168" s="46" t="s">
        <v>21</v>
      </c>
      <c r="D168" s="44" t="s">
        <v>484</v>
      </c>
      <c r="E168" s="47">
        <v>12548</v>
      </c>
      <c r="F168" s="46" t="s">
        <v>498</v>
      </c>
      <c r="G168" s="35">
        <v>28300</v>
      </c>
      <c r="H168" s="35">
        <v>28300</v>
      </c>
    </row>
    <row r="169" spans="1:8" s="15" customFormat="1" ht="26.1" customHeight="1" x14ac:dyDescent="0.2">
      <c r="A169" s="1" t="s">
        <v>1193</v>
      </c>
      <c r="B169" s="43" t="s">
        <v>464</v>
      </c>
      <c r="C169" s="46" t="s">
        <v>19</v>
      </c>
      <c r="D169" s="44" t="s">
        <v>46</v>
      </c>
      <c r="E169" s="47">
        <v>13557</v>
      </c>
      <c r="F169" s="46" t="s">
        <v>457</v>
      </c>
      <c r="G169" s="35">
        <v>28350</v>
      </c>
      <c r="H169" s="35">
        <v>28350</v>
      </c>
    </row>
    <row r="170" spans="1:8" s="15" customFormat="1" ht="26.1" customHeight="1" x14ac:dyDescent="0.2">
      <c r="A170" s="1" t="s">
        <v>1193</v>
      </c>
      <c r="B170" s="43" t="s">
        <v>629</v>
      </c>
      <c r="C170" s="46" t="s">
        <v>17</v>
      </c>
      <c r="D170" s="44" t="s">
        <v>643</v>
      </c>
      <c r="E170" s="47">
        <v>13804</v>
      </c>
      <c r="F170" s="46" t="s">
        <v>654</v>
      </c>
      <c r="G170" s="35">
        <f>9540*3</f>
        <v>28620</v>
      </c>
      <c r="H170" s="35">
        <f>9540*3</f>
        <v>28620</v>
      </c>
    </row>
    <row r="171" spans="1:8" s="15" customFormat="1" ht="26.1" customHeight="1" x14ac:dyDescent="0.2">
      <c r="A171" s="1" t="s">
        <v>1193</v>
      </c>
      <c r="B171" s="43" t="s">
        <v>1118</v>
      </c>
      <c r="C171" s="46" t="s">
        <v>31</v>
      </c>
      <c r="D171" s="44" t="s">
        <v>1123</v>
      </c>
      <c r="E171" s="47">
        <v>14717</v>
      </c>
      <c r="F171" s="46" t="s">
        <v>1128</v>
      </c>
      <c r="G171" s="35">
        <v>28750</v>
      </c>
      <c r="H171" s="35">
        <v>28750</v>
      </c>
    </row>
    <row r="172" spans="1:8" s="15" customFormat="1" ht="26.1" customHeight="1" x14ac:dyDescent="0.2">
      <c r="A172" s="1" t="s">
        <v>1193</v>
      </c>
      <c r="B172" s="43" t="s">
        <v>841</v>
      </c>
      <c r="C172" s="46" t="s">
        <v>92</v>
      </c>
      <c r="D172" s="44" t="s">
        <v>849</v>
      </c>
      <c r="E172" s="54" t="s">
        <v>850</v>
      </c>
      <c r="F172" s="46" t="s">
        <v>857</v>
      </c>
      <c r="G172" s="35">
        <v>29000</v>
      </c>
      <c r="H172" s="35">
        <v>70000</v>
      </c>
    </row>
    <row r="173" spans="1:8" s="15" customFormat="1" ht="26.1" customHeight="1" x14ac:dyDescent="0.2">
      <c r="A173" s="1" t="s">
        <v>1193</v>
      </c>
      <c r="B173" s="43" t="s">
        <v>157</v>
      </c>
      <c r="C173" s="46" t="s">
        <v>21</v>
      </c>
      <c r="D173" s="44" t="s">
        <v>47</v>
      </c>
      <c r="E173" s="47">
        <v>13003</v>
      </c>
      <c r="F173" s="46" t="s">
        <v>175</v>
      </c>
      <c r="G173" s="35">
        <f>10000*3</f>
        <v>30000</v>
      </c>
      <c r="H173" s="35">
        <f>10000*3</f>
        <v>30000</v>
      </c>
    </row>
    <row r="174" spans="1:8" s="15" customFormat="1" ht="26.1" customHeight="1" x14ac:dyDescent="0.2">
      <c r="A174" s="1" t="s">
        <v>1193</v>
      </c>
      <c r="B174" s="43" t="s">
        <v>368</v>
      </c>
      <c r="C174" s="46" t="s">
        <v>26</v>
      </c>
      <c r="D174" s="44" t="s">
        <v>63</v>
      </c>
      <c r="E174" s="54" t="s">
        <v>378</v>
      </c>
      <c r="F174" s="46" t="s">
        <v>383</v>
      </c>
      <c r="G174" s="35">
        <v>30000</v>
      </c>
      <c r="H174" s="40">
        <v>5000</v>
      </c>
    </row>
    <row r="175" spans="1:8" s="15" customFormat="1" ht="26.1" customHeight="1" x14ac:dyDescent="0.2">
      <c r="A175" s="1" t="s">
        <v>1193</v>
      </c>
      <c r="B175" s="43" t="s">
        <v>415</v>
      </c>
      <c r="C175" s="46" t="s">
        <v>19</v>
      </c>
      <c r="D175" s="44" t="s">
        <v>422</v>
      </c>
      <c r="E175" s="47">
        <v>12946</v>
      </c>
      <c r="F175" s="46" t="s">
        <v>429</v>
      </c>
      <c r="G175" s="35">
        <v>30000</v>
      </c>
      <c r="H175" s="35">
        <v>30000</v>
      </c>
    </row>
    <row r="176" spans="1:8" s="15" customFormat="1" ht="26.1" customHeight="1" x14ac:dyDescent="0.2">
      <c r="A176" s="1" t="s">
        <v>1193</v>
      </c>
      <c r="B176" s="43" t="s">
        <v>470</v>
      </c>
      <c r="C176" s="46" t="s">
        <v>26</v>
      </c>
      <c r="D176" s="44" t="s">
        <v>482</v>
      </c>
      <c r="E176" s="47">
        <v>13494</v>
      </c>
      <c r="F176" s="46" t="s">
        <v>496</v>
      </c>
      <c r="G176" s="35">
        <v>30000</v>
      </c>
      <c r="H176" s="35">
        <v>30000</v>
      </c>
    </row>
    <row r="177" spans="1:8" s="15" customFormat="1" ht="26.1" customHeight="1" x14ac:dyDescent="0.2">
      <c r="A177" s="1" t="s">
        <v>1193</v>
      </c>
      <c r="B177" s="43" t="s">
        <v>687</v>
      </c>
      <c r="C177" s="46" t="s">
        <v>20</v>
      </c>
      <c r="D177" s="44" t="s">
        <v>692</v>
      </c>
      <c r="E177" s="47">
        <v>13814</v>
      </c>
      <c r="F177" s="46" t="s">
        <v>698</v>
      </c>
      <c r="G177" s="35">
        <f>10000*3</f>
        <v>30000</v>
      </c>
      <c r="H177" s="35">
        <f>10000*3</f>
        <v>30000</v>
      </c>
    </row>
    <row r="178" spans="1:8" s="15" customFormat="1" ht="26.1" customHeight="1" x14ac:dyDescent="0.2">
      <c r="A178" s="1" t="s">
        <v>1193</v>
      </c>
      <c r="B178" s="43" t="s">
        <v>690</v>
      </c>
      <c r="C178" s="46" t="s">
        <v>20</v>
      </c>
      <c r="D178" s="44" t="s">
        <v>695</v>
      </c>
      <c r="E178" s="47">
        <v>13899</v>
      </c>
      <c r="F178" s="46" t="s">
        <v>701</v>
      </c>
      <c r="G178" s="35">
        <f>10000*3</f>
        <v>30000</v>
      </c>
      <c r="H178" s="35">
        <f>10000*3</f>
        <v>30000</v>
      </c>
    </row>
    <row r="179" spans="1:8" s="15" customFormat="1" ht="26.1" customHeight="1" x14ac:dyDescent="0.2">
      <c r="A179" s="1" t="s">
        <v>1193</v>
      </c>
      <c r="B179" s="43" t="s">
        <v>709</v>
      </c>
      <c r="C179" s="46" t="s">
        <v>21</v>
      </c>
      <c r="D179" s="44" t="s">
        <v>262</v>
      </c>
      <c r="E179" s="47">
        <v>13866</v>
      </c>
      <c r="F179" s="46" t="s">
        <v>726</v>
      </c>
      <c r="G179" s="35">
        <v>30000</v>
      </c>
      <c r="H179" s="35">
        <v>30000</v>
      </c>
    </row>
    <row r="180" spans="1:8" s="15" customFormat="1" ht="26.1" customHeight="1" x14ac:dyDescent="0.2">
      <c r="A180" s="1" t="s">
        <v>1193</v>
      </c>
      <c r="B180" s="43" t="s">
        <v>919</v>
      </c>
      <c r="C180" s="46" t="s">
        <v>25</v>
      </c>
      <c r="D180" s="44" t="s">
        <v>923</v>
      </c>
      <c r="E180" s="47">
        <v>14329</v>
      </c>
      <c r="F180" s="46" t="s">
        <v>926</v>
      </c>
      <c r="G180" s="35">
        <v>30000</v>
      </c>
      <c r="H180" s="35">
        <v>30000</v>
      </c>
    </row>
    <row r="181" spans="1:8" s="15" customFormat="1" ht="26.1" customHeight="1" x14ac:dyDescent="0.2">
      <c r="A181" s="1" t="s">
        <v>1193</v>
      </c>
      <c r="B181" s="43" t="s">
        <v>940</v>
      </c>
      <c r="C181" s="46" t="s">
        <v>26</v>
      </c>
      <c r="D181" s="44" t="s">
        <v>55</v>
      </c>
      <c r="E181" s="54" t="s">
        <v>961</v>
      </c>
      <c r="F181" s="46" t="s">
        <v>967</v>
      </c>
      <c r="G181" s="35">
        <f>10000*3</f>
        <v>30000</v>
      </c>
      <c r="H181" s="35">
        <v>99000</v>
      </c>
    </row>
    <row r="182" spans="1:8" s="15" customFormat="1" ht="26.1" customHeight="1" x14ac:dyDescent="0.2">
      <c r="A182" s="1" t="s">
        <v>1193</v>
      </c>
      <c r="B182" s="43" t="s">
        <v>1116</v>
      </c>
      <c r="C182" s="46" t="s">
        <v>474</v>
      </c>
      <c r="D182" s="44" t="s">
        <v>1121</v>
      </c>
      <c r="E182" s="47">
        <v>14663</v>
      </c>
      <c r="F182" s="46" t="s">
        <v>1126</v>
      </c>
      <c r="G182" s="35">
        <v>30000</v>
      </c>
      <c r="H182" s="35">
        <v>30000</v>
      </c>
    </row>
    <row r="183" spans="1:8" s="15" customFormat="1" ht="26.1" customHeight="1" x14ac:dyDescent="0.2">
      <c r="A183" s="1" t="s">
        <v>1193</v>
      </c>
      <c r="B183" s="43" t="s">
        <v>104</v>
      </c>
      <c r="C183" s="46" t="s">
        <v>21</v>
      </c>
      <c r="D183" s="44" t="s">
        <v>84</v>
      </c>
      <c r="E183" s="47">
        <v>12675</v>
      </c>
      <c r="F183" s="46" t="s">
        <v>154</v>
      </c>
      <c r="G183" s="35">
        <v>30163</v>
      </c>
      <c r="H183" s="40">
        <v>30163</v>
      </c>
    </row>
    <row r="184" spans="1:8" s="15" customFormat="1" ht="26.1" customHeight="1" x14ac:dyDescent="0.2">
      <c r="A184" s="1" t="s">
        <v>1193</v>
      </c>
      <c r="B184" s="43" t="s">
        <v>1015</v>
      </c>
      <c r="C184" s="46" t="s">
        <v>21</v>
      </c>
      <c r="D184" s="44" t="s">
        <v>1029</v>
      </c>
      <c r="E184" s="47">
        <v>14244</v>
      </c>
      <c r="F184" s="46" t="s">
        <v>1041</v>
      </c>
      <c r="G184" s="35">
        <f>21324+4220+4642</f>
        <v>30186</v>
      </c>
      <c r="H184" s="35">
        <f>21324+4220+4642</f>
        <v>30186</v>
      </c>
    </row>
    <row r="185" spans="1:8" s="15" customFormat="1" ht="26.1" customHeight="1" x14ac:dyDescent="0.2">
      <c r="A185" s="1" t="s">
        <v>1193</v>
      </c>
      <c r="B185" s="43" t="s">
        <v>241</v>
      </c>
      <c r="C185" s="46" t="s">
        <v>21</v>
      </c>
      <c r="D185" s="44" t="s">
        <v>261</v>
      </c>
      <c r="E185" s="47">
        <v>13145</v>
      </c>
      <c r="F185" s="46" t="s">
        <v>277</v>
      </c>
      <c r="G185" s="35">
        <f>10263*3</f>
        <v>30789</v>
      </c>
      <c r="H185" s="35">
        <f>10263*3</f>
        <v>30789</v>
      </c>
    </row>
    <row r="186" spans="1:8" s="15" customFormat="1" ht="26.1" customHeight="1" x14ac:dyDescent="0.2">
      <c r="A186" s="1" t="s">
        <v>1193</v>
      </c>
      <c r="B186" s="43" t="s">
        <v>312</v>
      </c>
      <c r="C186" s="46" t="s">
        <v>17</v>
      </c>
      <c r="D186" s="44" t="s">
        <v>320</v>
      </c>
      <c r="E186" s="54">
        <v>13351</v>
      </c>
      <c r="F186" s="46" t="s">
        <v>333</v>
      </c>
      <c r="G186" s="35">
        <f>15500*2</f>
        <v>31000</v>
      </c>
      <c r="H186" s="35">
        <f>15500*2</f>
        <v>31000</v>
      </c>
    </row>
    <row r="187" spans="1:8" s="15" customFormat="1" ht="26.1" customHeight="1" x14ac:dyDescent="0.2">
      <c r="A187" s="1" t="s">
        <v>1193</v>
      </c>
      <c r="B187" s="43" t="s">
        <v>250</v>
      </c>
      <c r="C187" s="46" t="s">
        <v>69</v>
      </c>
      <c r="D187" s="44" t="s">
        <v>51</v>
      </c>
      <c r="E187" s="47">
        <v>13231</v>
      </c>
      <c r="F187" s="46" t="s">
        <v>284</v>
      </c>
      <c r="G187" s="35">
        <f>15816+15816</f>
        <v>31632</v>
      </c>
      <c r="H187" s="35">
        <v>23500</v>
      </c>
    </row>
    <row r="188" spans="1:8" s="15" customFormat="1" ht="26.1" customHeight="1" x14ac:dyDescent="0.2">
      <c r="A188" s="1" t="s">
        <v>1193</v>
      </c>
      <c r="B188" s="43" t="s">
        <v>594</v>
      </c>
      <c r="C188" s="46" t="s">
        <v>19</v>
      </c>
      <c r="D188" s="44" t="s">
        <v>602</v>
      </c>
      <c r="E188" s="47">
        <v>13776</v>
      </c>
      <c r="F188" s="46" t="s">
        <v>668</v>
      </c>
      <c r="G188" s="35">
        <v>31950</v>
      </c>
      <c r="H188" s="35">
        <v>31950</v>
      </c>
    </row>
    <row r="189" spans="1:8" s="15" customFormat="1" ht="26.1" customHeight="1" x14ac:dyDescent="0.2">
      <c r="A189" s="1" t="s">
        <v>1193</v>
      </c>
      <c r="B189" s="43" t="s">
        <v>251</v>
      </c>
      <c r="C189" s="46" t="s">
        <v>252</v>
      </c>
      <c r="D189" s="44" t="s">
        <v>268</v>
      </c>
      <c r="E189" s="47">
        <v>13274</v>
      </c>
      <c r="F189" s="46" t="s">
        <v>285</v>
      </c>
      <c r="G189" s="35">
        <v>31985</v>
      </c>
      <c r="H189" s="35">
        <v>31985</v>
      </c>
    </row>
    <row r="190" spans="1:8" s="15" customFormat="1" ht="26.1" customHeight="1" x14ac:dyDescent="0.2">
      <c r="A190" s="1" t="s">
        <v>1193</v>
      </c>
      <c r="B190" s="43" t="s">
        <v>421</v>
      </c>
      <c r="C190" s="46" t="s">
        <v>21</v>
      </c>
      <c r="D190" s="44" t="s">
        <v>428</v>
      </c>
      <c r="E190" s="47">
        <v>13490</v>
      </c>
      <c r="F190" s="46" t="s">
        <v>435</v>
      </c>
      <c r="G190" s="35">
        <v>32000</v>
      </c>
      <c r="H190" s="35">
        <v>32000</v>
      </c>
    </row>
    <row r="191" spans="1:8" s="15" customFormat="1" ht="26.1" customHeight="1" x14ac:dyDescent="0.2">
      <c r="A191" s="1" t="s">
        <v>1193</v>
      </c>
      <c r="B191" s="43" t="s">
        <v>160</v>
      </c>
      <c r="C191" s="46" t="s">
        <v>165</v>
      </c>
      <c r="D191" s="44" t="s">
        <v>169</v>
      </c>
      <c r="E191" s="47">
        <v>13028</v>
      </c>
      <c r="F191" s="46" t="s">
        <v>178</v>
      </c>
      <c r="G191" s="35">
        <v>33200</v>
      </c>
      <c r="H191" s="40">
        <v>33200</v>
      </c>
    </row>
    <row r="192" spans="1:8" s="15" customFormat="1" ht="26.1" customHeight="1" x14ac:dyDescent="0.2">
      <c r="A192" s="1" t="s">
        <v>1193</v>
      </c>
      <c r="B192" s="43" t="s">
        <v>1089</v>
      </c>
      <c r="C192" s="46" t="s">
        <v>69</v>
      </c>
      <c r="D192" s="44" t="s">
        <v>1095</v>
      </c>
      <c r="E192" s="47">
        <v>14656</v>
      </c>
      <c r="F192" s="46" t="s">
        <v>1103</v>
      </c>
      <c r="G192" s="35">
        <f>10854+11000+11500</f>
        <v>33354</v>
      </c>
      <c r="H192" s="35">
        <f>10854+11000+11500</f>
        <v>33354</v>
      </c>
    </row>
    <row r="193" spans="1:8" s="15" customFormat="1" ht="26.1" customHeight="1" x14ac:dyDescent="0.2">
      <c r="A193" s="1" t="s">
        <v>1193</v>
      </c>
      <c r="B193" s="43" t="s">
        <v>801</v>
      </c>
      <c r="C193" s="46" t="s">
        <v>19</v>
      </c>
      <c r="D193" s="44" t="s">
        <v>805</v>
      </c>
      <c r="E193" s="47">
        <v>13880</v>
      </c>
      <c r="F193" s="46" t="s">
        <v>816</v>
      </c>
      <c r="G193" s="35">
        <v>33849</v>
      </c>
      <c r="H193" s="35">
        <v>33849</v>
      </c>
    </row>
    <row r="194" spans="1:8" s="15" customFormat="1" ht="26.1" customHeight="1" x14ac:dyDescent="0.2">
      <c r="A194" s="1" t="s">
        <v>1193</v>
      </c>
      <c r="B194" s="43" t="s">
        <v>1155</v>
      </c>
      <c r="C194" s="46" t="s">
        <v>92</v>
      </c>
      <c r="D194" s="44" t="s">
        <v>1162</v>
      </c>
      <c r="E194" s="47">
        <v>14853</v>
      </c>
      <c r="F194" s="46" t="s">
        <v>1173</v>
      </c>
      <c r="G194" s="35">
        <f>11374*3</f>
        <v>34122</v>
      </c>
      <c r="H194" s="35">
        <f>11374*3</f>
        <v>34122</v>
      </c>
    </row>
    <row r="195" spans="1:8" s="15" customFormat="1" ht="26.1" customHeight="1" x14ac:dyDescent="0.2">
      <c r="A195" s="1" t="s">
        <v>1193</v>
      </c>
      <c r="B195" s="43" t="s">
        <v>240</v>
      </c>
      <c r="C195" s="46" t="s">
        <v>21</v>
      </c>
      <c r="D195" s="44" t="s">
        <v>261</v>
      </c>
      <c r="E195" s="47">
        <v>13143</v>
      </c>
      <c r="F195" s="46" t="s">
        <v>276</v>
      </c>
      <c r="G195" s="35">
        <f>11659*3</f>
        <v>34977</v>
      </c>
      <c r="H195" s="35">
        <f>11659*3</f>
        <v>34977</v>
      </c>
    </row>
    <row r="196" spans="1:8" s="15" customFormat="1" ht="26.1" customHeight="1" x14ac:dyDescent="0.2">
      <c r="A196" s="1" t="s">
        <v>1193</v>
      </c>
      <c r="B196" s="43" t="s">
        <v>795</v>
      </c>
      <c r="C196" s="46" t="s">
        <v>19</v>
      </c>
      <c r="D196" s="44" t="s">
        <v>805</v>
      </c>
      <c r="E196" s="47">
        <v>13627</v>
      </c>
      <c r="F196" s="46" t="s">
        <v>810</v>
      </c>
      <c r="G196" s="35">
        <v>35274</v>
      </c>
      <c r="H196" s="35">
        <v>35274</v>
      </c>
    </row>
    <row r="197" spans="1:8" s="15" customFormat="1" ht="26.1" customHeight="1" x14ac:dyDescent="0.2">
      <c r="A197" s="1" t="s">
        <v>1193</v>
      </c>
      <c r="B197" s="43" t="s">
        <v>890</v>
      </c>
      <c r="C197" s="46" t="s">
        <v>23</v>
      </c>
      <c r="D197" s="44" t="s">
        <v>40</v>
      </c>
      <c r="E197" s="47">
        <v>14203</v>
      </c>
      <c r="F197" s="46" t="s">
        <v>895</v>
      </c>
      <c r="G197" s="35">
        <f>18000+18000</f>
        <v>36000</v>
      </c>
      <c r="H197" s="35">
        <v>36930</v>
      </c>
    </row>
    <row r="198" spans="1:8" s="15" customFormat="1" ht="26.1" customHeight="1" x14ac:dyDescent="0.2">
      <c r="A198" s="1" t="s">
        <v>1193</v>
      </c>
      <c r="B198" s="43" t="s">
        <v>796</v>
      </c>
      <c r="C198" s="46" t="s">
        <v>19</v>
      </c>
      <c r="D198" s="44" t="s">
        <v>805</v>
      </c>
      <c r="E198" s="47">
        <v>13628</v>
      </c>
      <c r="F198" s="46" t="s">
        <v>811</v>
      </c>
      <c r="G198" s="35">
        <v>36110</v>
      </c>
      <c r="H198" s="35">
        <v>36110</v>
      </c>
    </row>
    <row r="199" spans="1:8" s="15" customFormat="1" ht="26.1" customHeight="1" x14ac:dyDescent="0.2">
      <c r="A199" s="1" t="s">
        <v>1193</v>
      </c>
      <c r="B199" s="43" t="s">
        <v>1025</v>
      </c>
      <c r="C199" s="46" t="s">
        <v>21</v>
      </c>
      <c r="D199" s="44" t="s">
        <v>1037</v>
      </c>
      <c r="E199" s="47">
        <v>14603</v>
      </c>
      <c r="F199" s="46" t="s">
        <v>1050</v>
      </c>
      <c r="G199" s="35">
        <v>37050</v>
      </c>
      <c r="H199" s="35">
        <v>37050</v>
      </c>
    </row>
    <row r="200" spans="1:8" s="15" customFormat="1" ht="26.1" customHeight="1" x14ac:dyDescent="0.2">
      <c r="A200" s="1" t="s">
        <v>1193</v>
      </c>
      <c r="B200" s="43" t="s">
        <v>110</v>
      </c>
      <c r="C200" s="46" t="s">
        <v>92</v>
      </c>
      <c r="D200" s="44" t="s">
        <v>50</v>
      </c>
      <c r="E200" s="47">
        <v>12884</v>
      </c>
      <c r="F200" s="46" t="s">
        <v>142</v>
      </c>
      <c r="G200" s="35">
        <v>37739</v>
      </c>
      <c r="H200" s="35">
        <v>37739</v>
      </c>
    </row>
    <row r="201" spans="1:8" s="15" customFormat="1" ht="26.1" customHeight="1" x14ac:dyDescent="0.2">
      <c r="A201" s="1" t="s">
        <v>1193</v>
      </c>
      <c r="B201" s="43" t="s">
        <v>1068</v>
      </c>
      <c r="C201" s="46" t="s">
        <v>92</v>
      </c>
      <c r="D201" s="44" t="s">
        <v>479</v>
      </c>
      <c r="E201" s="54" t="s">
        <v>1076</v>
      </c>
      <c r="F201" s="46" t="s">
        <v>1079</v>
      </c>
      <c r="G201" s="35">
        <v>37739</v>
      </c>
      <c r="H201" s="35">
        <v>37832</v>
      </c>
    </row>
    <row r="202" spans="1:8" s="15" customFormat="1" ht="26.1" customHeight="1" x14ac:dyDescent="0.2">
      <c r="A202" s="1" t="s">
        <v>1193</v>
      </c>
      <c r="B202" s="43" t="s">
        <v>792</v>
      </c>
      <c r="C202" s="46" t="s">
        <v>19</v>
      </c>
      <c r="D202" s="44" t="s">
        <v>805</v>
      </c>
      <c r="E202" s="47">
        <v>13554</v>
      </c>
      <c r="F202" s="46" t="s">
        <v>807</v>
      </c>
      <c r="G202" s="35">
        <v>37880</v>
      </c>
      <c r="H202" s="35">
        <v>37880</v>
      </c>
    </row>
    <row r="203" spans="1:8" s="15" customFormat="1" ht="26.1" customHeight="1" x14ac:dyDescent="0.2">
      <c r="A203" s="1" t="s">
        <v>1193</v>
      </c>
      <c r="B203" s="43" t="s">
        <v>732</v>
      </c>
      <c r="C203" s="46" t="s">
        <v>30</v>
      </c>
      <c r="D203" s="44" t="s">
        <v>739</v>
      </c>
      <c r="E203" s="54" t="s">
        <v>743</v>
      </c>
      <c r="F203" s="46" t="s">
        <v>747</v>
      </c>
      <c r="G203" s="35">
        <v>38180</v>
      </c>
      <c r="H203" s="35">
        <v>46850</v>
      </c>
    </row>
    <row r="204" spans="1:8" s="15" customFormat="1" ht="26.1" customHeight="1" x14ac:dyDescent="0.2">
      <c r="A204" s="1" t="s">
        <v>1193</v>
      </c>
      <c r="B204" s="43" t="s">
        <v>838</v>
      </c>
      <c r="C204" s="46" t="s">
        <v>17</v>
      </c>
      <c r="D204" s="44" t="s">
        <v>846</v>
      </c>
      <c r="E204" s="47">
        <v>14117</v>
      </c>
      <c r="F204" s="46" t="s">
        <v>854</v>
      </c>
      <c r="G204" s="35">
        <v>38500</v>
      </c>
      <c r="H204" s="35">
        <v>38500</v>
      </c>
    </row>
    <row r="205" spans="1:8" s="15" customFormat="1" ht="26.1" customHeight="1" x14ac:dyDescent="0.2">
      <c r="A205" s="1" t="s">
        <v>1193</v>
      </c>
      <c r="B205" s="43" t="s">
        <v>704</v>
      </c>
      <c r="C205" s="46" t="s">
        <v>19</v>
      </c>
      <c r="D205" s="44" t="s">
        <v>589</v>
      </c>
      <c r="E205" s="47">
        <v>13629</v>
      </c>
      <c r="F205" s="46" t="s">
        <v>721</v>
      </c>
      <c r="G205" s="35">
        <v>38950</v>
      </c>
      <c r="H205" s="35">
        <v>38950</v>
      </c>
    </row>
    <row r="206" spans="1:8" s="15" customFormat="1" ht="26.1" customHeight="1" x14ac:dyDescent="0.2">
      <c r="A206" s="1" t="s">
        <v>1193</v>
      </c>
      <c r="B206" s="43" t="s">
        <v>1086</v>
      </c>
      <c r="C206" s="46" t="s">
        <v>92</v>
      </c>
      <c r="D206" s="44" t="s">
        <v>43</v>
      </c>
      <c r="E206" s="47">
        <v>14568</v>
      </c>
      <c r="F206" s="46" t="s">
        <v>1100</v>
      </c>
      <c r="G206" s="35">
        <v>38962</v>
      </c>
      <c r="H206" s="35">
        <v>38962</v>
      </c>
    </row>
    <row r="207" spans="1:8" s="15" customFormat="1" ht="26.1" customHeight="1" x14ac:dyDescent="0.2">
      <c r="A207" s="1" t="s">
        <v>1193</v>
      </c>
      <c r="B207" s="43" t="s">
        <v>525</v>
      </c>
      <c r="C207" s="46" t="s">
        <v>21</v>
      </c>
      <c r="D207" s="44" t="s">
        <v>533</v>
      </c>
      <c r="E207" s="47">
        <v>13559</v>
      </c>
      <c r="F207" s="46" t="s">
        <v>540</v>
      </c>
      <c r="G207" s="35">
        <v>39672</v>
      </c>
      <c r="H207" s="35">
        <v>709650</v>
      </c>
    </row>
    <row r="208" spans="1:8" s="15" customFormat="1" ht="26.1" customHeight="1" x14ac:dyDescent="0.2">
      <c r="A208" s="1" t="s">
        <v>1193</v>
      </c>
      <c r="B208" s="43" t="s">
        <v>737</v>
      </c>
      <c r="C208" s="46" t="s">
        <v>69</v>
      </c>
      <c r="D208" s="44" t="s">
        <v>507</v>
      </c>
      <c r="E208" s="47">
        <v>13993</v>
      </c>
      <c r="F208" s="46" t="s">
        <v>752</v>
      </c>
      <c r="G208" s="35">
        <f>12750+13000+14000</f>
        <v>39750</v>
      </c>
      <c r="H208" s="35">
        <f>12750+13000+14000</f>
        <v>39750</v>
      </c>
    </row>
    <row r="209" spans="1:8" s="15" customFormat="1" ht="26.1" customHeight="1" x14ac:dyDescent="0.2">
      <c r="A209" s="1" t="s">
        <v>1193</v>
      </c>
      <c r="B209" s="43" t="s">
        <v>307</v>
      </c>
      <c r="C209" s="46" t="s">
        <v>20</v>
      </c>
      <c r="D209" s="44" t="s">
        <v>45</v>
      </c>
      <c r="E209" s="54" t="s">
        <v>323</v>
      </c>
      <c r="F209" s="46" t="s">
        <v>64</v>
      </c>
      <c r="G209" s="35">
        <f>20000*2</f>
        <v>40000</v>
      </c>
      <c r="H209" s="35">
        <v>10000</v>
      </c>
    </row>
    <row r="210" spans="1:8" s="15" customFormat="1" ht="26.1" customHeight="1" x14ac:dyDescent="0.2">
      <c r="A210" s="1" t="s">
        <v>1193</v>
      </c>
      <c r="B210" s="43" t="s">
        <v>311</v>
      </c>
      <c r="C210" s="46" t="s">
        <v>166</v>
      </c>
      <c r="D210" s="44" t="s">
        <v>319</v>
      </c>
      <c r="E210" s="47">
        <v>13296</v>
      </c>
      <c r="F210" s="46" t="s">
        <v>332</v>
      </c>
      <c r="G210" s="35">
        <v>40000</v>
      </c>
      <c r="H210" s="40">
        <v>40000</v>
      </c>
    </row>
    <row r="211" spans="1:8" s="15" customFormat="1" ht="26.1" customHeight="1" x14ac:dyDescent="0.2">
      <c r="A211" s="1" t="s">
        <v>1193</v>
      </c>
      <c r="B211" s="43" t="s">
        <v>978</v>
      </c>
      <c r="C211" s="46" t="s">
        <v>30</v>
      </c>
      <c r="D211" s="44" t="s">
        <v>988</v>
      </c>
      <c r="E211" s="47">
        <v>14479</v>
      </c>
      <c r="F211" s="46" t="s">
        <v>999</v>
      </c>
      <c r="G211" s="35">
        <v>40899</v>
      </c>
      <c r="H211" s="35">
        <v>40899</v>
      </c>
    </row>
    <row r="212" spans="1:8" s="15" customFormat="1" ht="26.1" customHeight="1" x14ac:dyDescent="0.2">
      <c r="A212" s="1" t="s">
        <v>1193</v>
      </c>
      <c r="B212" s="43" t="s">
        <v>917</v>
      </c>
      <c r="C212" s="46" t="s">
        <v>17</v>
      </c>
      <c r="D212" s="44" t="s">
        <v>172</v>
      </c>
      <c r="E212" s="47">
        <v>14310</v>
      </c>
      <c r="F212" s="46" t="s">
        <v>181</v>
      </c>
      <c r="G212" s="35">
        <f>14000*3</f>
        <v>42000</v>
      </c>
      <c r="H212" s="35">
        <v>35000</v>
      </c>
    </row>
    <row r="213" spans="1:8" s="15" customFormat="1" ht="26.1" customHeight="1" x14ac:dyDescent="0.2">
      <c r="A213" s="1" t="s">
        <v>1193</v>
      </c>
      <c r="B213" s="43" t="s">
        <v>1022</v>
      </c>
      <c r="C213" s="46" t="s">
        <v>69</v>
      </c>
      <c r="D213" s="44" t="s">
        <v>452</v>
      </c>
      <c r="E213" s="47">
        <v>14572</v>
      </c>
      <c r="F213" s="46" t="s">
        <v>1048</v>
      </c>
      <c r="G213" s="35">
        <v>43000</v>
      </c>
      <c r="H213" s="35">
        <v>43000</v>
      </c>
    </row>
    <row r="214" spans="1:8" s="15" customFormat="1" ht="26.1" customHeight="1" x14ac:dyDescent="0.2">
      <c r="A214" s="1" t="s">
        <v>1193</v>
      </c>
      <c r="B214" s="43" t="s">
        <v>232</v>
      </c>
      <c r="C214" s="46" t="s">
        <v>31</v>
      </c>
      <c r="D214" s="44" t="s">
        <v>253</v>
      </c>
      <c r="E214" s="54">
        <v>12835</v>
      </c>
      <c r="F214" s="46" t="s">
        <v>269</v>
      </c>
      <c r="G214" s="35">
        <f>14500*3</f>
        <v>43500</v>
      </c>
      <c r="H214" s="35">
        <f>14500*3</f>
        <v>43500</v>
      </c>
    </row>
    <row r="215" spans="1:8" s="15" customFormat="1" ht="26.1" customHeight="1" x14ac:dyDescent="0.2">
      <c r="A215" s="1" t="s">
        <v>1193</v>
      </c>
      <c r="B215" s="43" t="s">
        <v>689</v>
      </c>
      <c r="C215" s="46" t="s">
        <v>474</v>
      </c>
      <c r="D215" s="44" t="s">
        <v>694</v>
      </c>
      <c r="E215" s="54" t="s">
        <v>697</v>
      </c>
      <c r="F215" s="46" t="s">
        <v>700</v>
      </c>
      <c r="G215" s="35">
        <v>44500</v>
      </c>
      <c r="H215" s="35">
        <v>44500</v>
      </c>
    </row>
    <row r="216" spans="1:8" s="15" customFormat="1" ht="26.1" customHeight="1" x14ac:dyDescent="0.2">
      <c r="A216" s="1" t="s">
        <v>1193</v>
      </c>
      <c r="B216" s="43" t="s">
        <v>164</v>
      </c>
      <c r="C216" s="46" t="s">
        <v>20</v>
      </c>
      <c r="D216" s="44" t="s">
        <v>74</v>
      </c>
      <c r="E216" s="47">
        <v>13006</v>
      </c>
      <c r="F216" s="46" t="s">
        <v>182</v>
      </c>
      <c r="G216" s="35">
        <f>15000*3</f>
        <v>45000</v>
      </c>
      <c r="H216" s="35">
        <f>15000*3</f>
        <v>45000</v>
      </c>
    </row>
    <row r="217" spans="1:8" s="15" customFormat="1" ht="26.1" customHeight="1" x14ac:dyDescent="0.2">
      <c r="A217" s="1" t="s">
        <v>1193</v>
      </c>
      <c r="B217" s="43" t="s">
        <v>242</v>
      </c>
      <c r="C217" s="46" t="s">
        <v>26</v>
      </c>
      <c r="D217" s="44" t="s">
        <v>52</v>
      </c>
      <c r="E217" s="47">
        <v>13160</v>
      </c>
      <c r="F217" s="46" t="s">
        <v>278</v>
      </c>
      <c r="G217" s="35">
        <v>45000</v>
      </c>
      <c r="H217" s="35">
        <v>45000</v>
      </c>
    </row>
    <row r="218" spans="1:8" s="15" customFormat="1" ht="26.1" customHeight="1" x14ac:dyDescent="0.2">
      <c r="A218" s="1" t="s">
        <v>1193</v>
      </c>
      <c r="B218" s="43" t="s">
        <v>305</v>
      </c>
      <c r="C218" s="46" t="s">
        <v>17</v>
      </c>
      <c r="D218" s="44" t="s">
        <v>315</v>
      </c>
      <c r="E218" s="47">
        <v>13241</v>
      </c>
      <c r="F218" s="46" t="s">
        <v>328</v>
      </c>
      <c r="G218" s="35">
        <f>15000*3</f>
        <v>45000</v>
      </c>
      <c r="H218" s="35">
        <f>15000*3</f>
        <v>45000</v>
      </c>
    </row>
    <row r="219" spans="1:8" s="15" customFormat="1" ht="26.1" customHeight="1" x14ac:dyDescent="0.2">
      <c r="A219" s="1" t="s">
        <v>1193</v>
      </c>
      <c r="B219" s="43" t="s">
        <v>364</v>
      </c>
      <c r="C219" s="46" t="s">
        <v>22</v>
      </c>
      <c r="D219" s="44" t="s">
        <v>373</v>
      </c>
      <c r="E219" s="47">
        <v>13124</v>
      </c>
      <c r="F219" s="46" t="s">
        <v>379</v>
      </c>
      <c r="G219" s="35">
        <v>45000</v>
      </c>
      <c r="H219" s="40">
        <v>45000</v>
      </c>
    </row>
    <row r="220" spans="1:8" s="15" customFormat="1" ht="26.1" customHeight="1" x14ac:dyDescent="0.2">
      <c r="A220" s="1" t="s">
        <v>1193</v>
      </c>
      <c r="B220" s="43" t="s">
        <v>371</v>
      </c>
      <c r="C220" s="46" t="s">
        <v>69</v>
      </c>
      <c r="D220" s="44" t="s">
        <v>60</v>
      </c>
      <c r="E220" s="47">
        <v>13376</v>
      </c>
      <c r="F220" s="55" t="s">
        <v>386</v>
      </c>
      <c r="G220" s="35">
        <v>45000</v>
      </c>
      <c r="H220" s="40">
        <v>45000</v>
      </c>
    </row>
    <row r="221" spans="1:8" s="15" customFormat="1" ht="26.1" customHeight="1" x14ac:dyDescent="0.2">
      <c r="A221" s="1" t="s">
        <v>1193</v>
      </c>
      <c r="B221" s="43" t="s">
        <v>543</v>
      </c>
      <c r="C221" s="46" t="s">
        <v>214</v>
      </c>
      <c r="D221" s="44" t="s">
        <v>554</v>
      </c>
      <c r="E221" s="47">
        <v>13641</v>
      </c>
      <c r="F221" s="46" t="s">
        <v>563</v>
      </c>
      <c r="G221" s="35">
        <f>15000*3</f>
        <v>45000</v>
      </c>
      <c r="H221" s="35">
        <f>15000*3</f>
        <v>45000</v>
      </c>
    </row>
    <row r="222" spans="1:8" s="15" customFormat="1" ht="26.1" customHeight="1" x14ac:dyDescent="0.2">
      <c r="A222" s="1" t="s">
        <v>1193</v>
      </c>
      <c r="B222" s="43" t="s">
        <v>549</v>
      </c>
      <c r="C222" s="46" t="s">
        <v>214</v>
      </c>
      <c r="D222" s="44" t="s">
        <v>560</v>
      </c>
      <c r="E222" s="47">
        <v>13684</v>
      </c>
      <c r="F222" s="46" t="s">
        <v>563</v>
      </c>
      <c r="G222" s="35">
        <f>15000*3</f>
        <v>45000</v>
      </c>
      <c r="H222" s="35">
        <f>15000*3</f>
        <v>45000</v>
      </c>
    </row>
    <row r="223" spans="1:8" s="15" customFormat="1" ht="26.1" customHeight="1" x14ac:dyDescent="0.2">
      <c r="A223" s="1" t="s">
        <v>1193</v>
      </c>
      <c r="B223" s="43" t="s">
        <v>550</v>
      </c>
      <c r="C223" s="46" t="s">
        <v>214</v>
      </c>
      <c r="D223" s="44" t="s">
        <v>561</v>
      </c>
      <c r="E223" s="47">
        <v>13685</v>
      </c>
      <c r="F223" s="46" t="s">
        <v>563</v>
      </c>
      <c r="G223" s="35">
        <f>15000*3</f>
        <v>45000</v>
      </c>
      <c r="H223" s="35">
        <f>15000*3</f>
        <v>45000</v>
      </c>
    </row>
    <row r="224" spans="1:8" s="15" customFormat="1" ht="26.1" customHeight="1" x14ac:dyDescent="0.2">
      <c r="A224" s="1" t="s">
        <v>1193</v>
      </c>
      <c r="B224" s="43" t="s">
        <v>633</v>
      </c>
      <c r="C224" s="46" t="s">
        <v>36</v>
      </c>
      <c r="D224" s="44" t="s">
        <v>646</v>
      </c>
      <c r="E224" s="47">
        <v>13986</v>
      </c>
      <c r="F224" s="46" t="s">
        <v>658</v>
      </c>
      <c r="G224" s="35">
        <v>45000</v>
      </c>
      <c r="H224" s="35">
        <v>45000</v>
      </c>
    </row>
    <row r="225" spans="1:8" s="15" customFormat="1" ht="26.1" customHeight="1" x14ac:dyDescent="0.2">
      <c r="A225" s="1" t="s">
        <v>1193</v>
      </c>
      <c r="B225" s="43" t="s">
        <v>1110</v>
      </c>
      <c r="C225" s="46" t="s">
        <v>21</v>
      </c>
      <c r="D225" s="44" t="s">
        <v>557</v>
      </c>
      <c r="E225" s="47">
        <v>14725</v>
      </c>
      <c r="F225" s="46" t="s">
        <v>1113</v>
      </c>
      <c r="G225" s="35">
        <v>45000</v>
      </c>
      <c r="H225" s="35">
        <v>49000</v>
      </c>
    </row>
    <row r="226" spans="1:8" s="15" customFormat="1" ht="26.1" customHeight="1" x14ac:dyDescent="0.2">
      <c r="A226" s="1" t="s">
        <v>1193</v>
      </c>
      <c r="B226" s="43" t="s">
        <v>1151</v>
      </c>
      <c r="C226" s="46" t="s">
        <v>20</v>
      </c>
      <c r="D226" s="44" t="s">
        <v>74</v>
      </c>
      <c r="E226" s="47">
        <v>14589</v>
      </c>
      <c r="F226" s="46" t="s">
        <v>1169</v>
      </c>
      <c r="G226" s="35">
        <f>15000*3</f>
        <v>45000</v>
      </c>
      <c r="H226" s="35">
        <f>15000*3</f>
        <v>45000</v>
      </c>
    </row>
    <row r="227" spans="1:8" s="15" customFormat="1" ht="26.1" customHeight="1" x14ac:dyDescent="0.2">
      <c r="A227" s="1" t="s">
        <v>1193</v>
      </c>
      <c r="B227" s="43" t="s">
        <v>631</v>
      </c>
      <c r="C227" s="46" t="s">
        <v>214</v>
      </c>
      <c r="D227" s="44" t="s">
        <v>644</v>
      </c>
      <c r="E227" s="47">
        <v>13829</v>
      </c>
      <c r="F227" s="46" t="s">
        <v>656</v>
      </c>
      <c r="G227" s="35">
        <v>45830</v>
      </c>
      <c r="H227" s="35">
        <v>45830</v>
      </c>
    </row>
    <row r="228" spans="1:8" s="15" customFormat="1" ht="26.1" customHeight="1" x14ac:dyDescent="0.2">
      <c r="A228" s="1" t="s">
        <v>1193</v>
      </c>
      <c r="B228" s="43" t="s">
        <v>502</v>
      </c>
      <c r="C228" s="46" t="s">
        <v>30</v>
      </c>
      <c r="D228" s="44" t="s">
        <v>509</v>
      </c>
      <c r="E228" s="47">
        <v>13626</v>
      </c>
      <c r="F228" s="46" t="s">
        <v>516</v>
      </c>
      <c r="G228" s="35">
        <v>45900</v>
      </c>
      <c r="H228" s="35">
        <v>25500</v>
      </c>
    </row>
    <row r="229" spans="1:8" s="15" customFormat="1" ht="26.1" customHeight="1" x14ac:dyDescent="0.2">
      <c r="A229" s="1" t="s">
        <v>1193</v>
      </c>
      <c r="B229" s="43" t="s">
        <v>918</v>
      </c>
      <c r="C229" s="46" t="s">
        <v>69</v>
      </c>
      <c r="D229" s="44" t="s">
        <v>922</v>
      </c>
      <c r="E229" s="47">
        <v>14327</v>
      </c>
      <c r="F229" s="46" t="s">
        <v>925</v>
      </c>
      <c r="G229" s="35">
        <v>47823</v>
      </c>
      <c r="H229" s="35">
        <v>47823</v>
      </c>
    </row>
    <row r="230" spans="1:8" s="15" customFormat="1" ht="26.1" customHeight="1" x14ac:dyDescent="0.2">
      <c r="A230" s="1" t="s">
        <v>1193</v>
      </c>
      <c r="B230" s="43" t="s">
        <v>526</v>
      </c>
      <c r="C230" s="46" t="s">
        <v>19</v>
      </c>
      <c r="D230" s="44" t="s">
        <v>128</v>
      </c>
      <c r="E230" s="47">
        <v>13519</v>
      </c>
      <c r="F230" s="46" t="s">
        <v>457</v>
      </c>
      <c r="G230" s="35">
        <v>48039</v>
      </c>
      <c r="H230" s="35">
        <v>48039</v>
      </c>
    </row>
    <row r="231" spans="1:8" s="15" customFormat="1" ht="26.1" customHeight="1" x14ac:dyDescent="0.2">
      <c r="A231" s="1" t="s">
        <v>1193</v>
      </c>
      <c r="B231" s="43" t="s">
        <v>1159</v>
      </c>
      <c r="C231" s="46" t="s">
        <v>21</v>
      </c>
      <c r="D231" s="44" t="s">
        <v>1165</v>
      </c>
      <c r="E231" s="47">
        <v>14820</v>
      </c>
      <c r="F231" s="46" t="s">
        <v>1177</v>
      </c>
      <c r="G231" s="35">
        <v>48833</v>
      </c>
      <c r="H231" s="35">
        <v>48833</v>
      </c>
    </row>
    <row r="232" spans="1:8" s="15" customFormat="1" ht="26.1" customHeight="1" x14ac:dyDescent="0.2">
      <c r="A232" s="1" t="s">
        <v>1193</v>
      </c>
      <c r="B232" s="43" t="s">
        <v>546</v>
      </c>
      <c r="C232" s="46" t="s">
        <v>21</v>
      </c>
      <c r="D232" s="44" t="s">
        <v>557</v>
      </c>
      <c r="E232" s="47">
        <v>13679</v>
      </c>
      <c r="F232" s="46" t="s">
        <v>566</v>
      </c>
      <c r="G232" s="35">
        <v>49000</v>
      </c>
      <c r="H232" s="35">
        <v>49000</v>
      </c>
    </row>
    <row r="233" spans="1:8" s="15" customFormat="1" ht="26.1" customHeight="1" x14ac:dyDescent="0.2">
      <c r="A233" s="1" t="s">
        <v>1193</v>
      </c>
      <c r="B233" s="43" t="s">
        <v>706</v>
      </c>
      <c r="C233" s="46" t="s">
        <v>214</v>
      </c>
      <c r="D233" s="44" t="s">
        <v>715</v>
      </c>
      <c r="E233" s="47">
        <v>13859</v>
      </c>
      <c r="F233" s="46" t="s">
        <v>723</v>
      </c>
      <c r="G233" s="35">
        <v>49000</v>
      </c>
      <c r="H233" s="35">
        <v>49000</v>
      </c>
    </row>
    <row r="234" spans="1:8" s="15" customFormat="1" ht="26.1" customHeight="1" x14ac:dyDescent="0.2">
      <c r="A234" s="1" t="s">
        <v>1193</v>
      </c>
      <c r="B234" s="43" t="s">
        <v>861</v>
      </c>
      <c r="C234" s="46" t="s">
        <v>25</v>
      </c>
      <c r="D234" s="44" t="s">
        <v>863</v>
      </c>
      <c r="E234" s="47">
        <v>14183</v>
      </c>
      <c r="F234" s="46" t="s">
        <v>867</v>
      </c>
      <c r="G234" s="35">
        <v>49000</v>
      </c>
      <c r="H234" s="35">
        <v>49000</v>
      </c>
    </row>
    <row r="235" spans="1:8" s="15" customFormat="1" ht="26.1" customHeight="1" x14ac:dyDescent="0.2">
      <c r="A235" s="1" t="s">
        <v>1193</v>
      </c>
      <c r="B235" s="43" t="s">
        <v>625</v>
      </c>
      <c r="C235" s="46" t="s">
        <v>166</v>
      </c>
      <c r="D235" s="44" t="s">
        <v>640</v>
      </c>
      <c r="E235" s="47">
        <v>13767</v>
      </c>
      <c r="F235" s="46" t="s">
        <v>650</v>
      </c>
      <c r="G235" s="35">
        <v>49500</v>
      </c>
      <c r="H235" s="35">
        <v>49500</v>
      </c>
    </row>
    <row r="236" spans="1:8" s="15" customFormat="1" ht="26.1" customHeight="1" x14ac:dyDescent="0.2">
      <c r="A236" s="1" t="s">
        <v>1193</v>
      </c>
      <c r="B236" s="43" t="s">
        <v>686</v>
      </c>
      <c r="C236" s="46" t="s">
        <v>21</v>
      </c>
      <c r="D236" s="44" t="s">
        <v>691</v>
      </c>
      <c r="E236" s="47">
        <v>13229</v>
      </c>
      <c r="F236" s="46" t="s">
        <v>702</v>
      </c>
      <c r="G236" s="35">
        <v>49500</v>
      </c>
      <c r="H236" s="35">
        <v>49500</v>
      </c>
    </row>
    <row r="237" spans="1:8" s="15" customFormat="1" ht="26.1" customHeight="1" x14ac:dyDescent="0.2">
      <c r="A237" s="1" t="s">
        <v>1193</v>
      </c>
      <c r="B237" s="43" t="s">
        <v>468</v>
      </c>
      <c r="C237" s="46" t="s">
        <v>474</v>
      </c>
      <c r="D237" s="44" t="s">
        <v>480</v>
      </c>
      <c r="E237" s="47">
        <v>13521</v>
      </c>
      <c r="F237" s="46" t="s">
        <v>494</v>
      </c>
      <c r="G237" s="35">
        <v>49900</v>
      </c>
      <c r="H237" s="35">
        <v>49900</v>
      </c>
    </row>
    <row r="238" spans="1:8" s="15" customFormat="1" ht="26.1" customHeight="1" x14ac:dyDescent="0.2">
      <c r="A238" s="1" t="s">
        <v>1193</v>
      </c>
      <c r="B238" s="43" t="s">
        <v>840</v>
      </c>
      <c r="C238" s="46" t="s">
        <v>843</v>
      </c>
      <c r="D238" s="44" t="s">
        <v>848</v>
      </c>
      <c r="E238" s="47">
        <v>14130</v>
      </c>
      <c r="F238" s="46" t="s">
        <v>856</v>
      </c>
      <c r="G238" s="35">
        <v>49990</v>
      </c>
      <c r="H238" s="35">
        <v>49990</v>
      </c>
    </row>
    <row r="239" spans="1:8" s="15" customFormat="1" ht="26.1" customHeight="1" x14ac:dyDescent="0.2">
      <c r="A239" s="1" t="s">
        <v>1193</v>
      </c>
      <c r="B239" s="43" t="s">
        <v>183</v>
      </c>
      <c r="C239" s="46" t="s">
        <v>26</v>
      </c>
      <c r="D239" s="44" t="s">
        <v>55</v>
      </c>
      <c r="E239" s="54" t="s">
        <v>208</v>
      </c>
      <c r="F239" s="46" t="s">
        <v>53</v>
      </c>
      <c r="G239" s="35">
        <v>50000</v>
      </c>
      <c r="H239" s="35">
        <v>5000</v>
      </c>
    </row>
    <row r="240" spans="1:8" s="15" customFormat="1" ht="26.1" customHeight="1" x14ac:dyDescent="0.2">
      <c r="A240" s="1" t="s">
        <v>1193</v>
      </c>
      <c r="B240" s="43" t="s">
        <v>442</v>
      </c>
      <c r="C240" s="46" t="s">
        <v>21</v>
      </c>
      <c r="D240" s="44" t="s">
        <v>448</v>
      </c>
      <c r="E240" s="47">
        <v>13486</v>
      </c>
      <c r="F240" s="46" t="s">
        <v>454</v>
      </c>
      <c r="G240" s="35">
        <v>50000</v>
      </c>
      <c r="H240" s="35">
        <v>50000</v>
      </c>
    </row>
    <row r="241" spans="1:8" s="15" customFormat="1" ht="26.1" customHeight="1" x14ac:dyDescent="0.2">
      <c r="A241" s="1" t="s">
        <v>1193</v>
      </c>
      <c r="B241" s="43" t="s">
        <v>671</v>
      </c>
      <c r="C241" s="46" t="s">
        <v>92</v>
      </c>
      <c r="D241" s="44" t="s">
        <v>673</v>
      </c>
      <c r="E241" s="54" t="s">
        <v>675</v>
      </c>
      <c r="F241" s="46" t="s">
        <v>676</v>
      </c>
      <c r="G241" s="35">
        <v>50000</v>
      </c>
      <c r="H241" s="35">
        <f>25000+30000+25000</f>
        <v>80000</v>
      </c>
    </row>
    <row r="242" spans="1:8" s="15" customFormat="1" ht="26.1" customHeight="1" x14ac:dyDescent="0.2">
      <c r="A242" s="1" t="s">
        <v>1193</v>
      </c>
      <c r="B242" s="43" t="s">
        <v>822</v>
      </c>
      <c r="C242" s="46" t="s">
        <v>19</v>
      </c>
      <c r="D242" s="44" t="s">
        <v>128</v>
      </c>
      <c r="E242" s="47">
        <v>13622</v>
      </c>
      <c r="F242" s="46" t="s">
        <v>824</v>
      </c>
      <c r="G242" s="35">
        <v>50000</v>
      </c>
      <c r="H242" s="35">
        <v>50000</v>
      </c>
    </row>
    <row r="243" spans="1:8" s="15" customFormat="1" ht="26.1" customHeight="1" x14ac:dyDescent="0.2">
      <c r="A243" s="1" t="s">
        <v>1193</v>
      </c>
      <c r="B243" s="43" t="s">
        <v>1070</v>
      </c>
      <c r="C243" s="46" t="s">
        <v>20</v>
      </c>
      <c r="D243" s="44" t="s">
        <v>1074</v>
      </c>
      <c r="E243" s="54" t="s">
        <v>1077</v>
      </c>
      <c r="F243" s="46" t="s">
        <v>1081</v>
      </c>
      <c r="G243" s="35">
        <f>25000+25000</f>
        <v>50000</v>
      </c>
      <c r="H243" s="35">
        <v>25000</v>
      </c>
    </row>
    <row r="244" spans="1:8" s="15" customFormat="1" ht="26.1" customHeight="1" x14ac:dyDescent="0.2">
      <c r="A244" s="1" t="s">
        <v>1193</v>
      </c>
      <c r="B244" s="43" t="s">
        <v>572</v>
      </c>
      <c r="C244" s="46" t="s">
        <v>19</v>
      </c>
      <c r="D244" s="44" t="s">
        <v>576</v>
      </c>
      <c r="E244" s="47">
        <v>13649</v>
      </c>
      <c r="F244" s="46" t="s">
        <v>580</v>
      </c>
      <c r="G244" s="35">
        <v>50166</v>
      </c>
      <c r="H244" s="35">
        <v>50166</v>
      </c>
    </row>
    <row r="245" spans="1:8" s="15" customFormat="1" ht="26.1" customHeight="1" x14ac:dyDescent="0.2">
      <c r="A245" s="1" t="s">
        <v>1193</v>
      </c>
      <c r="B245" s="43" t="s">
        <v>823</v>
      </c>
      <c r="C245" s="46" t="s">
        <v>19</v>
      </c>
      <c r="D245" s="44" t="s">
        <v>46</v>
      </c>
      <c r="E245" s="47">
        <v>13782</v>
      </c>
      <c r="F245" s="46" t="s">
        <v>825</v>
      </c>
      <c r="G245" s="35">
        <v>53000</v>
      </c>
      <c r="H245" s="35">
        <v>53000</v>
      </c>
    </row>
    <row r="246" spans="1:8" s="15" customFormat="1" ht="26.1" customHeight="1" x14ac:dyDescent="0.2">
      <c r="A246" s="1" t="s">
        <v>1193</v>
      </c>
      <c r="B246" s="43" t="s">
        <v>503</v>
      </c>
      <c r="C246" s="46" t="s">
        <v>69</v>
      </c>
      <c r="D246" s="44" t="s">
        <v>510</v>
      </c>
      <c r="E246" s="47">
        <v>13581</v>
      </c>
      <c r="F246" s="46" t="s">
        <v>518</v>
      </c>
      <c r="G246" s="35">
        <v>54000</v>
      </c>
      <c r="H246" s="35">
        <v>45000</v>
      </c>
    </row>
    <row r="247" spans="1:8" s="15" customFormat="1" ht="26.1" customHeight="1" x14ac:dyDescent="0.2">
      <c r="A247" s="1" t="s">
        <v>1193</v>
      </c>
      <c r="B247" s="43" t="s">
        <v>446</v>
      </c>
      <c r="C247" s="46" t="s">
        <v>21</v>
      </c>
      <c r="D247" s="44" t="s">
        <v>452</v>
      </c>
      <c r="E247" s="47">
        <v>13548</v>
      </c>
      <c r="F247" s="46" t="s">
        <v>458</v>
      </c>
      <c r="G247" s="35">
        <v>54400</v>
      </c>
      <c r="H247" s="35">
        <v>54400</v>
      </c>
    </row>
    <row r="248" spans="1:8" s="15" customFormat="1" ht="26.1" customHeight="1" x14ac:dyDescent="0.2">
      <c r="A248" s="1" t="s">
        <v>1193</v>
      </c>
      <c r="B248" s="43" t="s">
        <v>1130</v>
      </c>
      <c r="C248" s="46" t="s">
        <v>69</v>
      </c>
      <c r="D248" s="44" t="s">
        <v>265</v>
      </c>
      <c r="E248" s="47">
        <v>14760</v>
      </c>
      <c r="F248" s="46" t="s">
        <v>1133</v>
      </c>
      <c r="G248" s="35">
        <v>55000</v>
      </c>
      <c r="H248" s="35">
        <v>55000</v>
      </c>
    </row>
    <row r="249" spans="1:8" s="15" customFormat="1" ht="26.1" customHeight="1" x14ac:dyDescent="0.2">
      <c r="A249" s="1" t="s">
        <v>1193</v>
      </c>
      <c r="B249" s="43" t="s">
        <v>591</v>
      </c>
      <c r="C249" s="46" t="s">
        <v>597</v>
      </c>
      <c r="D249" s="44" t="s">
        <v>599</v>
      </c>
      <c r="E249" s="47">
        <v>13768</v>
      </c>
      <c r="F249" s="46" t="s">
        <v>605</v>
      </c>
      <c r="G249" s="35">
        <f>27650*2</f>
        <v>55300</v>
      </c>
      <c r="H249" s="35">
        <f>27650*2</f>
        <v>55300</v>
      </c>
    </row>
    <row r="250" spans="1:8" s="15" customFormat="1" ht="26.1" customHeight="1" x14ac:dyDescent="0.2">
      <c r="A250" s="1" t="s">
        <v>1193</v>
      </c>
      <c r="B250" s="43" t="s">
        <v>161</v>
      </c>
      <c r="C250" s="46" t="s">
        <v>69</v>
      </c>
      <c r="D250" s="44" t="s">
        <v>170</v>
      </c>
      <c r="E250" s="47">
        <v>13035</v>
      </c>
      <c r="F250" s="46" t="s">
        <v>179</v>
      </c>
      <c r="G250" s="35">
        <f>19184*3</f>
        <v>57552</v>
      </c>
      <c r="H250" s="35">
        <f>19184*3</f>
        <v>57552</v>
      </c>
    </row>
    <row r="251" spans="1:8" s="15" customFormat="1" ht="26.1" customHeight="1" x14ac:dyDescent="0.2">
      <c r="A251" s="1" t="s">
        <v>1193</v>
      </c>
      <c r="B251" s="43" t="s">
        <v>120</v>
      </c>
      <c r="C251" s="46" t="s">
        <v>23</v>
      </c>
      <c r="D251" s="44" t="s">
        <v>47</v>
      </c>
      <c r="E251" s="54">
        <v>12936</v>
      </c>
      <c r="F251" s="46" t="s">
        <v>152</v>
      </c>
      <c r="G251" s="49">
        <f>20000*3</f>
        <v>60000</v>
      </c>
      <c r="H251" s="49">
        <f>20000*3</f>
        <v>60000</v>
      </c>
    </row>
    <row r="252" spans="1:8" s="15" customFormat="1" ht="26.1" customHeight="1" x14ac:dyDescent="0.2">
      <c r="A252" s="1" t="s">
        <v>1193</v>
      </c>
      <c r="B252" s="43" t="s">
        <v>244</v>
      </c>
      <c r="C252" s="46" t="s">
        <v>21</v>
      </c>
      <c r="D252" s="44" t="s">
        <v>263</v>
      </c>
      <c r="E252" s="47">
        <v>13195</v>
      </c>
      <c r="F252" s="46" t="s">
        <v>279</v>
      </c>
      <c r="G252" s="35">
        <f>20000*3</f>
        <v>60000</v>
      </c>
      <c r="H252" s="35">
        <f>20000*3</f>
        <v>60000</v>
      </c>
    </row>
    <row r="253" spans="1:8" s="15" customFormat="1" ht="26.1" customHeight="1" x14ac:dyDescent="0.2">
      <c r="A253" s="1" t="s">
        <v>1193</v>
      </c>
      <c r="B253" s="43" t="s">
        <v>350</v>
      </c>
      <c r="C253" s="46" t="s">
        <v>19</v>
      </c>
      <c r="D253" s="44" t="s">
        <v>34</v>
      </c>
      <c r="E253" s="47">
        <v>13322</v>
      </c>
      <c r="F253" s="46" t="s">
        <v>359</v>
      </c>
      <c r="G253" s="35">
        <v>60000</v>
      </c>
      <c r="H253" s="35">
        <v>60000</v>
      </c>
    </row>
    <row r="254" spans="1:8" s="15" customFormat="1" ht="26.1" customHeight="1" x14ac:dyDescent="0.2">
      <c r="A254" s="1" t="s">
        <v>1193</v>
      </c>
      <c r="B254" s="43" t="s">
        <v>887</v>
      </c>
      <c r="C254" s="46" t="s">
        <v>62</v>
      </c>
      <c r="D254" s="44" t="s">
        <v>891</v>
      </c>
      <c r="E254" s="47">
        <v>14229</v>
      </c>
      <c r="F254" s="46" t="s">
        <v>894</v>
      </c>
      <c r="G254" s="35">
        <v>60000</v>
      </c>
      <c r="H254" s="35">
        <v>60000</v>
      </c>
    </row>
    <row r="255" spans="1:8" s="15" customFormat="1" ht="26.1" customHeight="1" x14ac:dyDescent="0.2">
      <c r="A255" s="1" t="s">
        <v>1193</v>
      </c>
      <c r="B255" s="43" t="s">
        <v>1106</v>
      </c>
      <c r="C255" s="46" t="s">
        <v>23</v>
      </c>
      <c r="D255" s="44" t="s">
        <v>1107</v>
      </c>
      <c r="E255" s="47">
        <v>14729</v>
      </c>
      <c r="F255" s="46" t="s">
        <v>1108</v>
      </c>
      <c r="G255" s="35">
        <v>60396</v>
      </c>
      <c r="H255" s="35">
        <v>710192</v>
      </c>
    </row>
    <row r="256" spans="1:8" s="15" customFormat="1" ht="26.1" customHeight="1" x14ac:dyDescent="0.2">
      <c r="A256" s="1" t="s">
        <v>1193</v>
      </c>
      <c r="B256" s="43" t="s">
        <v>901</v>
      </c>
      <c r="C256" s="46" t="s">
        <v>69</v>
      </c>
      <c r="D256" s="44" t="s">
        <v>905</v>
      </c>
      <c r="E256" s="47">
        <v>14280</v>
      </c>
      <c r="F256" s="46" t="s">
        <v>910</v>
      </c>
      <c r="G256" s="35">
        <f>20519*3</f>
        <v>61557</v>
      </c>
      <c r="H256" s="35">
        <f>20519*3</f>
        <v>61557</v>
      </c>
    </row>
    <row r="257" spans="1:8" s="15" customFormat="1" ht="26.1" customHeight="1" x14ac:dyDescent="0.2">
      <c r="A257" s="1" t="s">
        <v>1193</v>
      </c>
      <c r="B257" s="43" t="s">
        <v>213</v>
      </c>
      <c r="C257" s="46" t="s">
        <v>36</v>
      </c>
      <c r="D257" s="44" t="s">
        <v>68</v>
      </c>
      <c r="E257" s="54">
        <v>13147</v>
      </c>
      <c r="F257" s="46" t="s">
        <v>229</v>
      </c>
      <c r="G257" s="35">
        <v>61708</v>
      </c>
      <c r="H257" s="40">
        <v>975237</v>
      </c>
    </row>
    <row r="258" spans="1:8" s="15" customFormat="1" ht="26.1" customHeight="1" x14ac:dyDescent="0.2">
      <c r="A258" s="1" t="s">
        <v>1193</v>
      </c>
      <c r="B258" s="43" t="s">
        <v>586</v>
      </c>
      <c r="C258" s="46" t="s">
        <v>19</v>
      </c>
      <c r="D258" s="44" t="s">
        <v>589</v>
      </c>
      <c r="E258" s="47">
        <v>13773</v>
      </c>
      <c r="F258" s="46" t="s">
        <v>587</v>
      </c>
      <c r="G258" s="35">
        <v>62700</v>
      </c>
      <c r="H258" s="35">
        <v>62700</v>
      </c>
    </row>
    <row r="259" spans="1:8" s="15" customFormat="1" ht="26.1" customHeight="1" x14ac:dyDescent="0.2">
      <c r="A259" s="1" t="s">
        <v>1193</v>
      </c>
      <c r="B259" s="43" t="s">
        <v>842</v>
      </c>
      <c r="C259" s="46" t="s">
        <v>31</v>
      </c>
      <c r="D259" s="44" t="s">
        <v>253</v>
      </c>
      <c r="E259" s="54" t="s">
        <v>851</v>
      </c>
      <c r="F259" s="46" t="s">
        <v>858</v>
      </c>
      <c r="G259" s="35">
        <f>21000*3</f>
        <v>63000</v>
      </c>
      <c r="H259" s="35">
        <v>14500</v>
      </c>
    </row>
    <row r="260" spans="1:8" s="15" customFormat="1" ht="26.1" customHeight="1" x14ac:dyDescent="0.2">
      <c r="A260" s="1" t="s">
        <v>1193</v>
      </c>
      <c r="B260" s="43" t="s">
        <v>1020</v>
      </c>
      <c r="C260" s="46" t="s">
        <v>69</v>
      </c>
      <c r="D260" s="44" t="s">
        <v>1033</v>
      </c>
      <c r="E260" s="47">
        <v>14551</v>
      </c>
      <c r="F260" s="46" t="s">
        <v>1046</v>
      </c>
      <c r="G260" s="35">
        <f>20397+21100+21700</f>
        <v>63197</v>
      </c>
      <c r="H260" s="35">
        <f>20397+21100+21700</f>
        <v>63197</v>
      </c>
    </row>
    <row r="261" spans="1:8" s="15" customFormat="1" ht="26.1" customHeight="1" x14ac:dyDescent="0.2">
      <c r="A261" s="1" t="s">
        <v>1193</v>
      </c>
      <c r="B261" s="43" t="s">
        <v>287</v>
      </c>
      <c r="C261" s="46" t="s">
        <v>19</v>
      </c>
      <c r="D261" s="44" t="s">
        <v>46</v>
      </c>
      <c r="E261" s="47">
        <v>13165</v>
      </c>
      <c r="F261" s="46" t="s">
        <v>295</v>
      </c>
      <c r="G261" s="35">
        <v>63900</v>
      </c>
      <c r="H261" s="35">
        <v>63900</v>
      </c>
    </row>
    <row r="262" spans="1:8" s="15" customFormat="1" ht="26.1" customHeight="1" x14ac:dyDescent="0.2">
      <c r="A262" s="1" t="s">
        <v>1193</v>
      </c>
      <c r="B262" s="43" t="s">
        <v>185</v>
      </c>
      <c r="C262" s="46" t="s">
        <v>69</v>
      </c>
      <c r="D262" s="44" t="s">
        <v>200</v>
      </c>
      <c r="E262" s="34">
        <v>12967</v>
      </c>
      <c r="F262" s="46" t="s">
        <v>216</v>
      </c>
      <c r="G262" s="40">
        <v>64082</v>
      </c>
      <c r="H262" s="40">
        <v>64082</v>
      </c>
    </row>
    <row r="263" spans="1:8" s="15" customFormat="1" ht="26.1" customHeight="1" x14ac:dyDescent="0.2">
      <c r="A263" s="1" t="s">
        <v>1193</v>
      </c>
      <c r="B263" s="43" t="s">
        <v>158</v>
      </c>
      <c r="C263" s="46" t="s">
        <v>69</v>
      </c>
      <c r="D263" s="44" t="s">
        <v>33</v>
      </c>
      <c r="E263" s="47">
        <v>13017</v>
      </c>
      <c r="F263" s="46" t="s">
        <v>176</v>
      </c>
      <c r="G263" s="49">
        <f>21376*3</f>
        <v>64128</v>
      </c>
      <c r="H263" s="49">
        <f>21376*3</f>
        <v>64128</v>
      </c>
    </row>
    <row r="264" spans="1:8" s="15" customFormat="1" ht="26.1" customHeight="1" x14ac:dyDescent="0.2">
      <c r="A264" s="1" t="s">
        <v>1193</v>
      </c>
      <c r="B264" s="43" t="s">
        <v>524</v>
      </c>
      <c r="C264" s="46" t="s">
        <v>69</v>
      </c>
      <c r="D264" s="44" t="s">
        <v>532</v>
      </c>
      <c r="E264" s="47">
        <v>13635</v>
      </c>
      <c r="F264" s="46" t="s">
        <v>539</v>
      </c>
      <c r="G264" s="35">
        <f>21495*3</f>
        <v>64485</v>
      </c>
      <c r="H264" s="35">
        <f>21495*3</f>
        <v>64485</v>
      </c>
    </row>
    <row r="265" spans="1:8" s="15" customFormat="1" ht="26.1" customHeight="1" x14ac:dyDescent="0.2">
      <c r="A265" s="1" t="s">
        <v>1193</v>
      </c>
      <c r="B265" s="43" t="s">
        <v>291</v>
      </c>
      <c r="C265" s="46" t="s">
        <v>21</v>
      </c>
      <c r="D265" s="44" t="s">
        <v>293</v>
      </c>
      <c r="E265" s="47">
        <v>13224</v>
      </c>
      <c r="F265" s="46" t="s">
        <v>298</v>
      </c>
      <c r="G265" s="35">
        <v>65000</v>
      </c>
      <c r="H265" s="35">
        <v>65000</v>
      </c>
    </row>
    <row r="266" spans="1:8" s="15" customFormat="1" ht="26.1" customHeight="1" x14ac:dyDescent="0.2">
      <c r="A266" s="1" t="s">
        <v>1193</v>
      </c>
      <c r="B266" s="43" t="s">
        <v>679</v>
      </c>
      <c r="C266" s="46" t="s">
        <v>26</v>
      </c>
      <c r="D266" s="44" t="s">
        <v>27</v>
      </c>
      <c r="E266" s="54" t="s">
        <v>685</v>
      </c>
      <c r="F266" s="46" t="s">
        <v>682</v>
      </c>
      <c r="G266" s="35">
        <v>65000</v>
      </c>
      <c r="H266" s="35">
        <f>5000+50000+44000+34000</f>
        <v>133000</v>
      </c>
    </row>
    <row r="267" spans="1:8" s="15" customFormat="1" ht="26.1" customHeight="1" x14ac:dyDescent="0.2">
      <c r="A267" s="1" t="s">
        <v>1193</v>
      </c>
      <c r="B267" s="43" t="s">
        <v>473</v>
      </c>
      <c r="C267" s="46" t="s">
        <v>214</v>
      </c>
      <c r="D267" s="44" t="s">
        <v>485</v>
      </c>
      <c r="E267" s="47">
        <v>13619</v>
      </c>
      <c r="F267" s="46" t="s">
        <v>499</v>
      </c>
      <c r="G267" s="35">
        <f>21840*3</f>
        <v>65520</v>
      </c>
      <c r="H267" s="35">
        <f>21840*3</f>
        <v>65520</v>
      </c>
    </row>
    <row r="268" spans="1:8" s="15" customFormat="1" ht="26.1" customHeight="1" x14ac:dyDescent="0.2">
      <c r="A268" s="1" t="s">
        <v>1193</v>
      </c>
      <c r="B268" s="43" t="s">
        <v>445</v>
      </c>
      <c r="C268" s="46" t="s">
        <v>19</v>
      </c>
      <c r="D268" s="44" t="s">
        <v>451</v>
      </c>
      <c r="E268" s="47">
        <v>13534</v>
      </c>
      <c r="F268" s="46" t="s">
        <v>457</v>
      </c>
      <c r="G268" s="35">
        <v>65525</v>
      </c>
      <c r="H268" s="35">
        <v>65525</v>
      </c>
    </row>
    <row r="269" spans="1:8" s="15" customFormat="1" ht="26.1" customHeight="1" x14ac:dyDescent="0.2">
      <c r="A269" s="1" t="s">
        <v>1193</v>
      </c>
      <c r="B269" s="43" t="s">
        <v>86</v>
      </c>
      <c r="C269" s="45" t="s">
        <v>21</v>
      </c>
      <c r="D269" s="45" t="s">
        <v>77</v>
      </c>
      <c r="E269" s="54">
        <v>12737</v>
      </c>
      <c r="F269" s="46" t="s">
        <v>96</v>
      </c>
      <c r="G269" s="41">
        <v>65559</v>
      </c>
      <c r="H269" s="41">
        <v>65559</v>
      </c>
    </row>
    <row r="270" spans="1:8" s="15" customFormat="1" ht="26.1" customHeight="1" x14ac:dyDescent="0.2">
      <c r="A270" s="1" t="s">
        <v>1193</v>
      </c>
      <c r="B270" s="43" t="s">
        <v>88</v>
      </c>
      <c r="C270" s="46" t="s">
        <v>92</v>
      </c>
      <c r="D270" s="44" t="s">
        <v>94</v>
      </c>
      <c r="E270" s="39">
        <v>12885</v>
      </c>
      <c r="F270" s="46" t="s">
        <v>99</v>
      </c>
      <c r="G270" s="35">
        <v>67179</v>
      </c>
      <c r="H270" s="40">
        <v>67179</v>
      </c>
    </row>
    <row r="271" spans="1:8" s="15" customFormat="1" ht="26.1" customHeight="1" x14ac:dyDescent="0.2">
      <c r="A271" s="1" t="s">
        <v>1193</v>
      </c>
      <c r="B271" s="43" t="s">
        <v>584</v>
      </c>
      <c r="C271" s="46" t="s">
        <v>62</v>
      </c>
      <c r="D271" s="44" t="s">
        <v>534</v>
      </c>
      <c r="E271" s="47">
        <v>13343</v>
      </c>
      <c r="F271" s="46" t="s">
        <v>670</v>
      </c>
      <c r="G271" s="35">
        <v>68737</v>
      </c>
      <c r="H271" s="35">
        <v>68737</v>
      </c>
    </row>
    <row r="272" spans="1:8" s="15" customFormat="1" ht="26.1" customHeight="1" x14ac:dyDescent="0.2">
      <c r="A272" s="1" t="s">
        <v>1193</v>
      </c>
      <c r="B272" s="43" t="s">
        <v>1178</v>
      </c>
      <c r="C272" s="43" t="s">
        <v>21</v>
      </c>
      <c r="D272" s="43" t="s">
        <v>1180</v>
      </c>
      <c r="E272" s="47">
        <v>14664</v>
      </c>
      <c r="F272" s="46" t="s">
        <v>1183</v>
      </c>
      <c r="G272" s="35">
        <v>70862</v>
      </c>
      <c r="H272" s="35">
        <v>70862</v>
      </c>
    </row>
    <row r="273" spans="1:8" s="15" customFormat="1" ht="26.1" customHeight="1" x14ac:dyDescent="0.2">
      <c r="A273" s="1" t="s">
        <v>1193</v>
      </c>
      <c r="B273" s="43" t="s">
        <v>1018</v>
      </c>
      <c r="C273" s="46" t="s">
        <v>69</v>
      </c>
      <c r="D273" s="44" t="s">
        <v>1031</v>
      </c>
      <c r="E273" s="47">
        <v>14548</v>
      </c>
      <c r="F273" s="46" t="s">
        <v>1044</v>
      </c>
      <c r="G273" s="35">
        <f>24000*3</f>
        <v>72000</v>
      </c>
      <c r="H273" s="35">
        <f>24000*3</f>
        <v>72000</v>
      </c>
    </row>
    <row r="274" spans="1:8" s="15" customFormat="1" ht="26.1" customHeight="1" x14ac:dyDescent="0.2">
      <c r="A274" s="1" t="s">
        <v>1193</v>
      </c>
      <c r="B274" s="43" t="s">
        <v>680</v>
      </c>
      <c r="C274" s="46" t="s">
        <v>21</v>
      </c>
      <c r="D274" s="44" t="s">
        <v>345</v>
      </c>
      <c r="E274" s="47">
        <v>13871</v>
      </c>
      <c r="F274" s="46" t="s">
        <v>683</v>
      </c>
      <c r="G274" s="35">
        <v>72246</v>
      </c>
      <c r="H274" s="35">
        <v>72246</v>
      </c>
    </row>
    <row r="275" spans="1:8" s="15" customFormat="1" ht="26.1" customHeight="1" x14ac:dyDescent="0.2">
      <c r="A275" s="1" t="s">
        <v>1193</v>
      </c>
      <c r="B275" s="43" t="s">
        <v>875</v>
      </c>
      <c r="C275" s="46" t="s">
        <v>30</v>
      </c>
      <c r="D275" s="44" t="s">
        <v>47</v>
      </c>
      <c r="E275" s="47">
        <v>13792</v>
      </c>
      <c r="F275" s="46" t="s">
        <v>882</v>
      </c>
      <c r="G275" s="35">
        <f>43500+15000+15000</f>
        <v>73500</v>
      </c>
      <c r="H275" s="35">
        <f>43500+15000+15000</f>
        <v>73500</v>
      </c>
    </row>
    <row r="276" spans="1:8" s="15" customFormat="1" ht="26.1" customHeight="1" x14ac:dyDescent="0.2">
      <c r="A276" s="1" t="s">
        <v>1193</v>
      </c>
      <c r="B276" s="43" t="s">
        <v>369</v>
      </c>
      <c r="C276" s="46" t="s">
        <v>69</v>
      </c>
      <c r="D276" s="44" t="s">
        <v>32</v>
      </c>
      <c r="E276" s="47">
        <v>13366</v>
      </c>
      <c r="F276" s="46" t="s">
        <v>384</v>
      </c>
      <c r="G276" s="35">
        <f>24756*3</f>
        <v>74268</v>
      </c>
      <c r="H276" s="35">
        <f>24756*3</f>
        <v>74268</v>
      </c>
    </row>
    <row r="277" spans="1:8" s="15" customFormat="1" ht="26.1" customHeight="1" x14ac:dyDescent="0.2">
      <c r="A277" s="1" t="s">
        <v>1193</v>
      </c>
      <c r="B277" s="43" t="s">
        <v>545</v>
      </c>
      <c r="C277" s="46" t="s">
        <v>21</v>
      </c>
      <c r="D277" s="44" t="s">
        <v>556</v>
      </c>
      <c r="E277" s="47">
        <v>13678</v>
      </c>
      <c r="F277" s="46" t="s">
        <v>565</v>
      </c>
      <c r="G277" s="35">
        <f>25000*3</f>
        <v>75000</v>
      </c>
      <c r="H277" s="35">
        <f>25000*3</f>
        <v>75000</v>
      </c>
    </row>
    <row r="278" spans="1:8" s="15" customFormat="1" ht="26.1" customHeight="1" x14ac:dyDescent="0.2">
      <c r="A278" s="1" t="s">
        <v>1193</v>
      </c>
      <c r="B278" s="43" t="s">
        <v>939</v>
      </c>
      <c r="C278" s="46" t="s">
        <v>21</v>
      </c>
      <c r="D278" s="44" t="s">
        <v>956</v>
      </c>
      <c r="E278" s="47">
        <v>14332</v>
      </c>
      <c r="F278" s="46" t="s">
        <v>966</v>
      </c>
      <c r="G278" s="35">
        <v>75000</v>
      </c>
      <c r="H278" s="35">
        <v>75000</v>
      </c>
    </row>
    <row r="279" spans="1:8" s="15" customFormat="1" ht="26.1" customHeight="1" x14ac:dyDescent="0.2">
      <c r="A279" s="1" t="s">
        <v>1193</v>
      </c>
      <c r="B279" s="43" t="s">
        <v>876</v>
      </c>
      <c r="C279" s="46" t="s">
        <v>30</v>
      </c>
      <c r="D279" s="44" t="s">
        <v>880</v>
      </c>
      <c r="E279" s="47">
        <v>13985</v>
      </c>
      <c r="F279" s="46" t="s">
        <v>883</v>
      </c>
      <c r="G279" s="35">
        <f>25025*3</f>
        <v>75075</v>
      </c>
      <c r="H279" s="35">
        <f>25025*3</f>
        <v>75075</v>
      </c>
    </row>
    <row r="280" spans="1:8" s="15" customFormat="1" ht="26.1" customHeight="1" x14ac:dyDescent="0.2">
      <c r="A280" s="1" t="s">
        <v>1193</v>
      </c>
      <c r="B280" s="43" t="s">
        <v>1153</v>
      </c>
      <c r="C280" s="46" t="s">
        <v>21</v>
      </c>
      <c r="D280" s="44" t="s">
        <v>32</v>
      </c>
      <c r="E280" s="47">
        <v>14710</v>
      </c>
      <c r="F280" s="46" t="s">
        <v>1171</v>
      </c>
      <c r="G280" s="35">
        <f>25829*3</f>
        <v>77487</v>
      </c>
      <c r="H280" s="35">
        <f>25829*3</f>
        <v>77487</v>
      </c>
    </row>
    <row r="281" spans="1:8" s="15" customFormat="1" ht="26.1" customHeight="1" x14ac:dyDescent="0.2">
      <c r="A281" s="1" t="s">
        <v>1193</v>
      </c>
      <c r="B281" s="43" t="s">
        <v>1055</v>
      </c>
      <c r="C281" s="46" t="s">
        <v>843</v>
      </c>
      <c r="D281" s="44" t="s">
        <v>1059</v>
      </c>
      <c r="E281" s="47">
        <v>14734</v>
      </c>
      <c r="F281" s="46" t="s">
        <v>1065</v>
      </c>
      <c r="G281" s="35">
        <v>77500</v>
      </c>
      <c r="H281" s="35">
        <v>77500</v>
      </c>
    </row>
    <row r="282" spans="1:8" s="15" customFormat="1" ht="26.1" customHeight="1" x14ac:dyDescent="0.2">
      <c r="A282" s="1" t="s">
        <v>1193</v>
      </c>
      <c r="B282" s="43" t="s">
        <v>946</v>
      </c>
      <c r="C282" s="46" t="s">
        <v>21</v>
      </c>
      <c r="D282" s="44" t="s">
        <v>603</v>
      </c>
      <c r="E282" s="47">
        <v>14435</v>
      </c>
      <c r="F282" s="46" t="s">
        <v>607</v>
      </c>
      <c r="G282" s="35">
        <v>78585</v>
      </c>
      <c r="H282" s="35">
        <v>78585</v>
      </c>
    </row>
    <row r="283" spans="1:8" s="15" customFormat="1" ht="26.1" customHeight="1" x14ac:dyDescent="0.2">
      <c r="A283" s="1" t="s">
        <v>1193</v>
      </c>
      <c r="B283" s="43" t="s">
        <v>821</v>
      </c>
      <c r="C283" s="46" t="s">
        <v>19</v>
      </c>
      <c r="D283" s="44" t="s">
        <v>46</v>
      </c>
      <c r="E283" s="47">
        <v>13556</v>
      </c>
      <c r="F283" s="46" t="s">
        <v>457</v>
      </c>
      <c r="G283" s="35">
        <v>78750</v>
      </c>
      <c r="H283" s="35">
        <v>78750</v>
      </c>
    </row>
    <row r="284" spans="1:8" s="15" customFormat="1" ht="26.1" customHeight="1" x14ac:dyDescent="0.2">
      <c r="A284" s="1" t="s">
        <v>1193</v>
      </c>
      <c r="B284" s="43" t="s">
        <v>89</v>
      </c>
      <c r="C284" s="46" t="s">
        <v>92</v>
      </c>
      <c r="D284" s="44" t="s">
        <v>29</v>
      </c>
      <c r="E284" s="34">
        <v>12886</v>
      </c>
      <c r="F284" s="46" t="s">
        <v>789</v>
      </c>
      <c r="G284" s="35">
        <v>78896</v>
      </c>
      <c r="H284" s="40">
        <v>78896</v>
      </c>
    </row>
    <row r="285" spans="1:8" s="15" customFormat="1" ht="26.1" customHeight="1" x14ac:dyDescent="0.2">
      <c r="A285" s="1" t="s">
        <v>1193</v>
      </c>
      <c r="B285" s="43" t="s">
        <v>1150</v>
      </c>
      <c r="C285" s="46" t="s">
        <v>21</v>
      </c>
      <c r="D285" s="44" t="s">
        <v>641</v>
      </c>
      <c r="E285" s="47">
        <v>14478</v>
      </c>
      <c r="F285" s="46" t="s">
        <v>1168</v>
      </c>
      <c r="G285" s="35">
        <f>39800+39800</f>
        <v>79600</v>
      </c>
      <c r="H285" s="35">
        <f>39800+39800</f>
        <v>79600</v>
      </c>
    </row>
    <row r="286" spans="1:8" s="15" customFormat="1" ht="26.1" customHeight="1" x14ac:dyDescent="0.2">
      <c r="A286" s="1" t="s">
        <v>1193</v>
      </c>
      <c r="B286" s="43" t="s">
        <v>730</v>
      </c>
      <c r="C286" s="46" t="s">
        <v>19</v>
      </c>
      <c r="D286" s="44" t="s">
        <v>529</v>
      </c>
      <c r="E286" s="47">
        <v>13631</v>
      </c>
      <c r="F286" s="46" t="s">
        <v>745</v>
      </c>
      <c r="G286" s="35">
        <v>80000</v>
      </c>
      <c r="H286" s="35">
        <v>80000</v>
      </c>
    </row>
    <row r="287" spans="1:8" s="15" customFormat="1" ht="26.1" customHeight="1" x14ac:dyDescent="0.2">
      <c r="A287" s="1" t="s">
        <v>1193</v>
      </c>
      <c r="B287" s="43" t="s">
        <v>828</v>
      </c>
      <c r="C287" s="46" t="s">
        <v>19</v>
      </c>
      <c r="D287" s="44" t="s">
        <v>831</v>
      </c>
      <c r="E287" s="47">
        <v>13939</v>
      </c>
      <c r="F287" s="46" t="s">
        <v>834</v>
      </c>
      <c r="G287" s="35">
        <v>82500</v>
      </c>
      <c r="H287" s="35">
        <v>82500</v>
      </c>
    </row>
    <row r="288" spans="1:8" s="15" customFormat="1" ht="26.1" customHeight="1" x14ac:dyDescent="0.2">
      <c r="A288" s="1" t="s">
        <v>1193</v>
      </c>
      <c r="B288" s="43" t="s">
        <v>211</v>
      </c>
      <c r="C288" s="46" t="s">
        <v>21</v>
      </c>
      <c r="D288" s="44" t="s">
        <v>24</v>
      </c>
      <c r="E288" s="34">
        <v>12794</v>
      </c>
      <c r="F288" s="46" t="s">
        <v>231</v>
      </c>
      <c r="G288" s="35">
        <v>82794</v>
      </c>
      <c r="H288" s="40">
        <v>82794</v>
      </c>
    </row>
    <row r="289" spans="1:8" s="15" customFormat="1" ht="26.1" customHeight="1" x14ac:dyDescent="0.2">
      <c r="A289" s="1" t="s">
        <v>1193</v>
      </c>
      <c r="B289" s="43" t="s">
        <v>1056</v>
      </c>
      <c r="C289" s="46" t="s">
        <v>166</v>
      </c>
      <c r="D289" s="44" t="s">
        <v>1060</v>
      </c>
      <c r="E289" s="47">
        <v>14617</v>
      </c>
      <c r="F289" s="46" t="s">
        <v>1066</v>
      </c>
      <c r="G289" s="35">
        <v>84802</v>
      </c>
      <c r="H289" s="35">
        <v>84802</v>
      </c>
    </row>
    <row r="290" spans="1:8" s="15" customFormat="1" ht="26.1" customHeight="1" x14ac:dyDescent="0.2">
      <c r="A290" s="1" t="s">
        <v>1193</v>
      </c>
      <c r="B290" s="43" t="s">
        <v>912</v>
      </c>
      <c r="C290" s="46" t="s">
        <v>69</v>
      </c>
      <c r="D290" s="44" t="s">
        <v>849</v>
      </c>
      <c r="E290" s="47">
        <v>14240</v>
      </c>
      <c r="F290" s="46" t="s">
        <v>916</v>
      </c>
      <c r="G290" s="35">
        <v>85000</v>
      </c>
      <c r="H290" s="35">
        <v>85000</v>
      </c>
    </row>
    <row r="291" spans="1:8" s="15" customFormat="1" ht="26.1" customHeight="1" x14ac:dyDescent="0.2">
      <c r="A291" s="1" t="s">
        <v>1193</v>
      </c>
      <c r="B291" s="43" t="s">
        <v>447</v>
      </c>
      <c r="C291" s="46" t="s">
        <v>19</v>
      </c>
      <c r="D291" s="44" t="s">
        <v>453</v>
      </c>
      <c r="E291" s="47">
        <v>13551</v>
      </c>
      <c r="F291" s="46" t="s">
        <v>457</v>
      </c>
      <c r="G291" s="35">
        <v>86230</v>
      </c>
      <c r="H291" s="35">
        <v>86230</v>
      </c>
    </row>
    <row r="292" spans="1:8" s="15" customFormat="1" ht="26.1" customHeight="1" x14ac:dyDescent="0.2">
      <c r="A292" s="1" t="s">
        <v>1193</v>
      </c>
      <c r="B292" s="43" t="s">
        <v>548</v>
      </c>
      <c r="C292" s="46" t="s">
        <v>214</v>
      </c>
      <c r="D292" s="44" t="s">
        <v>559</v>
      </c>
      <c r="E292" s="47">
        <v>13682</v>
      </c>
      <c r="F292" s="46" t="s">
        <v>568</v>
      </c>
      <c r="G292" s="35">
        <f>29000*3</f>
        <v>87000</v>
      </c>
      <c r="H292" s="35">
        <f>29000*3</f>
        <v>87000</v>
      </c>
    </row>
    <row r="293" spans="1:8" s="15" customFormat="1" ht="26.1" customHeight="1" x14ac:dyDescent="0.2">
      <c r="A293" s="1" t="s">
        <v>1193</v>
      </c>
      <c r="B293" s="43" t="s">
        <v>1023</v>
      </c>
      <c r="C293" s="46" t="s">
        <v>21</v>
      </c>
      <c r="D293" s="44" t="s">
        <v>1035</v>
      </c>
      <c r="E293" s="47">
        <v>14590</v>
      </c>
      <c r="F293" s="46" t="s">
        <v>1049</v>
      </c>
      <c r="G293" s="35">
        <f>43500+43500</f>
        <v>87000</v>
      </c>
      <c r="H293" s="35">
        <f>43500+43500</f>
        <v>87000</v>
      </c>
    </row>
    <row r="294" spans="1:8" s="15" customFormat="1" ht="26.1" customHeight="1" x14ac:dyDescent="0.2">
      <c r="A294" s="1" t="s">
        <v>1193</v>
      </c>
      <c r="B294" s="43" t="s">
        <v>935</v>
      </c>
      <c r="C294" s="46" t="s">
        <v>21</v>
      </c>
      <c r="D294" s="44" t="s">
        <v>953</v>
      </c>
      <c r="E294" s="47">
        <v>14260</v>
      </c>
      <c r="F294" s="46" t="s">
        <v>963</v>
      </c>
      <c r="G294" s="35">
        <v>87879</v>
      </c>
      <c r="H294" s="35">
        <v>87879</v>
      </c>
    </row>
    <row r="295" spans="1:8" s="15" customFormat="1" ht="26.1" customHeight="1" x14ac:dyDescent="0.2">
      <c r="A295" s="1" t="s">
        <v>1193</v>
      </c>
      <c r="B295" s="43" t="s">
        <v>420</v>
      </c>
      <c r="C295" s="46" t="s">
        <v>17</v>
      </c>
      <c r="D295" s="44" t="s">
        <v>427</v>
      </c>
      <c r="E295" s="47">
        <v>13492</v>
      </c>
      <c r="F295" s="46" t="s">
        <v>433</v>
      </c>
      <c r="G295" s="35">
        <f>45000*2</f>
        <v>90000</v>
      </c>
      <c r="H295" s="35">
        <f>45000*2</f>
        <v>90000</v>
      </c>
    </row>
    <row r="296" spans="1:8" s="15" customFormat="1" ht="26.1" customHeight="1" x14ac:dyDescent="0.2">
      <c r="A296" s="1" t="s">
        <v>1193</v>
      </c>
      <c r="B296" s="43" t="s">
        <v>547</v>
      </c>
      <c r="C296" s="46" t="s">
        <v>35</v>
      </c>
      <c r="D296" s="44" t="s">
        <v>558</v>
      </c>
      <c r="E296" s="47">
        <v>13680</v>
      </c>
      <c r="F296" s="46" t="s">
        <v>567</v>
      </c>
      <c r="G296" s="35">
        <f>30000*3</f>
        <v>90000</v>
      </c>
      <c r="H296" s="35">
        <f>30000*3</f>
        <v>90000</v>
      </c>
    </row>
    <row r="297" spans="1:8" s="15" customFormat="1" ht="26.1" customHeight="1" x14ac:dyDescent="0.2">
      <c r="A297" s="1" t="s">
        <v>1193</v>
      </c>
      <c r="B297" s="43" t="s">
        <v>1003</v>
      </c>
      <c r="C297" s="46" t="s">
        <v>17</v>
      </c>
      <c r="D297" s="44" t="s">
        <v>1006</v>
      </c>
      <c r="E297" s="47">
        <v>14492</v>
      </c>
      <c r="F297" s="46" t="s">
        <v>1009</v>
      </c>
      <c r="G297" s="35">
        <v>90000</v>
      </c>
      <c r="H297" s="35">
        <v>90000</v>
      </c>
    </row>
    <row r="298" spans="1:8" s="15" customFormat="1" ht="26.1" customHeight="1" x14ac:dyDescent="0.2">
      <c r="A298" s="1" t="s">
        <v>1193</v>
      </c>
      <c r="B298" s="43" t="s">
        <v>936</v>
      </c>
      <c r="C298" s="46" t="s">
        <v>69</v>
      </c>
      <c r="D298" s="44" t="s">
        <v>401</v>
      </c>
      <c r="E298" s="47">
        <v>14281</v>
      </c>
      <c r="F298" s="46" t="s">
        <v>964</v>
      </c>
      <c r="G298" s="35">
        <v>90350</v>
      </c>
      <c r="H298" s="35">
        <v>90350</v>
      </c>
    </row>
    <row r="299" spans="1:8" s="15" customFormat="1" ht="26.1" customHeight="1" x14ac:dyDescent="0.2">
      <c r="A299" s="1" t="s">
        <v>1193</v>
      </c>
      <c r="B299" s="43" t="s">
        <v>826</v>
      </c>
      <c r="C299" s="46" t="s">
        <v>21</v>
      </c>
      <c r="D299" s="44" t="s">
        <v>449</v>
      </c>
      <c r="E299" s="47">
        <v>13512</v>
      </c>
      <c r="F299" s="46" t="s">
        <v>455</v>
      </c>
      <c r="G299" s="35">
        <v>90700</v>
      </c>
      <c r="H299" s="35">
        <v>90700</v>
      </c>
    </row>
    <row r="300" spans="1:8" s="15" customFormat="1" ht="26.1" customHeight="1" x14ac:dyDescent="0.2">
      <c r="A300" s="1" t="s">
        <v>1193</v>
      </c>
      <c r="B300" s="43" t="s">
        <v>340</v>
      </c>
      <c r="C300" s="46" t="s">
        <v>21</v>
      </c>
      <c r="D300" s="44" t="s">
        <v>345</v>
      </c>
      <c r="E300" s="54">
        <v>13458</v>
      </c>
      <c r="F300" s="46" t="s">
        <v>349</v>
      </c>
      <c r="G300" s="35">
        <v>91404</v>
      </c>
      <c r="H300" s="40">
        <v>91404</v>
      </c>
    </row>
    <row r="301" spans="1:8" s="15" customFormat="1" ht="26.1" customHeight="1" x14ac:dyDescent="0.2">
      <c r="A301" s="1" t="s">
        <v>1193</v>
      </c>
      <c r="B301" s="43" t="s">
        <v>353</v>
      </c>
      <c r="C301" s="46" t="s">
        <v>21</v>
      </c>
      <c r="D301" s="44" t="s">
        <v>357</v>
      </c>
      <c r="E301" s="47">
        <v>13354</v>
      </c>
      <c r="F301" s="46" t="s">
        <v>362</v>
      </c>
      <c r="G301" s="35">
        <v>91554</v>
      </c>
      <c r="H301" s="35">
        <v>91554</v>
      </c>
    </row>
    <row r="302" spans="1:8" s="15" customFormat="1" ht="26.1" customHeight="1" x14ac:dyDescent="0.2">
      <c r="A302" s="1" t="s">
        <v>1193</v>
      </c>
      <c r="B302" s="43" t="s">
        <v>1135</v>
      </c>
      <c r="C302" s="46" t="s">
        <v>36</v>
      </c>
      <c r="D302" s="44" t="s">
        <v>1141</v>
      </c>
      <c r="E302" s="47">
        <v>14817</v>
      </c>
      <c r="F302" s="46" t="s">
        <v>1145</v>
      </c>
      <c r="G302" s="35">
        <f>30656*3</f>
        <v>91968</v>
      </c>
      <c r="H302" s="35">
        <f>30656*3</f>
        <v>91968</v>
      </c>
    </row>
    <row r="303" spans="1:8" s="15" customFormat="1" ht="26.1" customHeight="1" x14ac:dyDescent="0.2">
      <c r="A303" s="1" t="s">
        <v>1193</v>
      </c>
      <c r="B303" s="43" t="s">
        <v>672</v>
      </c>
      <c r="C303" s="46" t="s">
        <v>92</v>
      </c>
      <c r="D303" s="44" t="s">
        <v>674</v>
      </c>
      <c r="E303" s="47">
        <v>13827</v>
      </c>
      <c r="F303" s="46" t="s">
        <v>677</v>
      </c>
      <c r="G303" s="35">
        <v>92651</v>
      </c>
      <c r="H303" s="35">
        <v>92651</v>
      </c>
    </row>
    <row r="304" spans="1:8" s="15" customFormat="1" ht="26.1" customHeight="1" x14ac:dyDescent="0.2">
      <c r="A304" s="1" t="s">
        <v>1193</v>
      </c>
      <c r="B304" s="43" t="s">
        <v>711</v>
      </c>
      <c r="C304" s="46" t="s">
        <v>69</v>
      </c>
      <c r="D304" s="44" t="s">
        <v>718</v>
      </c>
      <c r="E304" s="47">
        <v>13921</v>
      </c>
      <c r="F304" s="46" t="s">
        <v>728</v>
      </c>
      <c r="G304" s="35">
        <f>30999*3</f>
        <v>92997</v>
      </c>
      <c r="H304" s="35">
        <f>30999*3</f>
        <v>92997</v>
      </c>
    </row>
    <row r="305" spans="1:8" s="15" customFormat="1" ht="26.1" customHeight="1" x14ac:dyDescent="0.2">
      <c r="A305" s="1" t="s">
        <v>1193</v>
      </c>
      <c r="B305" s="43" t="s">
        <v>1019</v>
      </c>
      <c r="C305" s="46" t="s">
        <v>69</v>
      </c>
      <c r="D305" s="44" t="s">
        <v>1032</v>
      </c>
      <c r="E305" s="47">
        <v>14550</v>
      </c>
      <c r="F305" s="46" t="s">
        <v>1045</v>
      </c>
      <c r="G305" s="35">
        <f>29173+31000+33000</f>
        <v>93173</v>
      </c>
      <c r="H305" s="35">
        <f>29173+31000+33000</f>
        <v>93173</v>
      </c>
    </row>
    <row r="306" spans="1:8" s="15" customFormat="1" ht="26.1" customHeight="1" x14ac:dyDescent="0.2">
      <c r="A306" s="1" t="s">
        <v>1193</v>
      </c>
      <c r="B306" s="43" t="s">
        <v>184</v>
      </c>
      <c r="C306" s="46" t="s">
        <v>26</v>
      </c>
      <c r="D306" s="44" t="s">
        <v>27</v>
      </c>
      <c r="E306" s="54" t="s">
        <v>209</v>
      </c>
      <c r="F306" s="46" t="s">
        <v>210</v>
      </c>
      <c r="G306" s="35">
        <v>95000</v>
      </c>
      <c r="H306" s="35">
        <v>95000</v>
      </c>
    </row>
    <row r="307" spans="1:8" s="15" customFormat="1" ht="26.1" customHeight="1" x14ac:dyDescent="0.2">
      <c r="A307" s="1" t="s">
        <v>1193</v>
      </c>
      <c r="B307" s="43" t="s">
        <v>609</v>
      </c>
      <c r="C307" s="46" t="s">
        <v>21</v>
      </c>
      <c r="D307" s="44" t="s">
        <v>612</v>
      </c>
      <c r="E307" s="47">
        <v>13753</v>
      </c>
      <c r="F307" s="46" t="s">
        <v>666</v>
      </c>
      <c r="G307" s="35">
        <v>95000</v>
      </c>
      <c r="H307" s="35">
        <v>95000</v>
      </c>
    </row>
    <row r="308" spans="1:8" s="15" customFormat="1" ht="26.1" customHeight="1" x14ac:dyDescent="0.2">
      <c r="A308" s="1" t="s">
        <v>1193</v>
      </c>
      <c r="B308" s="43" t="s">
        <v>1071</v>
      </c>
      <c r="C308" s="46" t="s">
        <v>17</v>
      </c>
      <c r="D308" s="44" t="s">
        <v>1075</v>
      </c>
      <c r="E308" s="47">
        <v>14667</v>
      </c>
      <c r="F308" s="46" t="s">
        <v>1082</v>
      </c>
      <c r="G308" s="35">
        <v>95000</v>
      </c>
      <c r="H308" s="35">
        <v>95000</v>
      </c>
    </row>
    <row r="309" spans="1:8" s="15" customFormat="1" ht="26.1" customHeight="1" x14ac:dyDescent="0.2">
      <c r="A309" s="1" t="s">
        <v>1193</v>
      </c>
      <c r="B309" s="43" t="s">
        <v>1131</v>
      </c>
      <c r="C309" s="46" t="s">
        <v>21</v>
      </c>
      <c r="D309" s="44" t="s">
        <v>1132</v>
      </c>
      <c r="E309" s="47">
        <v>14699</v>
      </c>
      <c r="F309" s="46" t="s">
        <v>1134</v>
      </c>
      <c r="G309" s="35">
        <v>95000</v>
      </c>
      <c r="H309" s="35">
        <v>95000</v>
      </c>
    </row>
    <row r="310" spans="1:8" s="15" customFormat="1" ht="26.1" customHeight="1" x14ac:dyDescent="0.2">
      <c r="A310" s="1" t="s">
        <v>1193</v>
      </c>
      <c r="B310" s="43" t="s">
        <v>1105</v>
      </c>
      <c r="C310" s="46" t="s">
        <v>69</v>
      </c>
      <c r="D310" s="44" t="s">
        <v>924</v>
      </c>
      <c r="E310" s="47">
        <v>14570</v>
      </c>
      <c r="F310" s="46" t="s">
        <v>1109</v>
      </c>
      <c r="G310" s="35">
        <v>95825</v>
      </c>
      <c r="H310" s="35">
        <v>95825</v>
      </c>
    </row>
    <row r="311" spans="1:8" s="15" customFormat="1" ht="26.1" customHeight="1" x14ac:dyDescent="0.2">
      <c r="A311" s="1" t="s">
        <v>1193</v>
      </c>
      <c r="B311" s="43" t="s">
        <v>736</v>
      </c>
      <c r="C311" s="46" t="s">
        <v>738</v>
      </c>
      <c r="D311" s="44" t="s">
        <v>742</v>
      </c>
      <c r="E311" s="47">
        <v>13992</v>
      </c>
      <c r="F311" s="46" t="s">
        <v>750</v>
      </c>
      <c r="G311" s="35">
        <v>96000</v>
      </c>
      <c r="H311" s="35">
        <v>96000</v>
      </c>
    </row>
    <row r="312" spans="1:8" s="15" customFormat="1" ht="26.1" customHeight="1" x14ac:dyDescent="0.2">
      <c r="A312" s="1" t="s">
        <v>1193</v>
      </c>
      <c r="B312" s="43" t="s">
        <v>899</v>
      </c>
      <c r="C312" s="46" t="s">
        <v>21</v>
      </c>
      <c r="D312" s="44" t="s">
        <v>903</v>
      </c>
      <c r="E312" s="47">
        <v>14237</v>
      </c>
      <c r="F312" s="46" t="s">
        <v>908</v>
      </c>
      <c r="G312" s="35">
        <f>48000*2</f>
        <v>96000</v>
      </c>
      <c r="H312" s="35">
        <f>48000*2</f>
        <v>96000</v>
      </c>
    </row>
    <row r="313" spans="1:8" s="15" customFormat="1" ht="26.1" customHeight="1" x14ac:dyDescent="0.2">
      <c r="A313" s="1" t="s">
        <v>1193</v>
      </c>
      <c r="B313" s="43" t="s">
        <v>976</v>
      </c>
      <c r="C313" s="46" t="s">
        <v>69</v>
      </c>
      <c r="D313" s="44" t="s">
        <v>986</v>
      </c>
      <c r="E313" s="47">
        <v>14450</v>
      </c>
      <c r="F313" s="46" t="s">
        <v>997</v>
      </c>
      <c r="G313" s="35">
        <f>48000+48000</f>
        <v>96000</v>
      </c>
      <c r="H313" s="35">
        <f>48000+48000</f>
        <v>96000</v>
      </c>
    </row>
    <row r="314" spans="1:8" s="15" customFormat="1" ht="26.1" customHeight="1" x14ac:dyDescent="0.2">
      <c r="A314" s="1" t="s">
        <v>1193</v>
      </c>
      <c r="B314" s="43" t="s">
        <v>408</v>
      </c>
      <c r="C314" s="46" t="s">
        <v>21</v>
      </c>
      <c r="D314" s="44" t="s">
        <v>411</v>
      </c>
      <c r="E314" s="47">
        <v>13447</v>
      </c>
      <c r="F314" s="46" t="s">
        <v>413</v>
      </c>
      <c r="G314" s="35">
        <v>98000</v>
      </c>
      <c r="H314" s="35">
        <v>98000</v>
      </c>
    </row>
    <row r="315" spans="1:8" s="15" customFormat="1" ht="26.1" customHeight="1" x14ac:dyDescent="0.2">
      <c r="A315" s="1" t="s">
        <v>1193</v>
      </c>
      <c r="B315" s="43" t="s">
        <v>436</v>
      </c>
      <c r="C315" s="46" t="s">
        <v>69</v>
      </c>
      <c r="D315" s="44" t="s">
        <v>438</v>
      </c>
      <c r="E315" s="47">
        <v>13477</v>
      </c>
      <c r="F315" s="46" t="s">
        <v>440</v>
      </c>
      <c r="G315" s="35">
        <v>98400</v>
      </c>
      <c r="H315" s="35">
        <v>98400</v>
      </c>
    </row>
    <row r="316" spans="1:8" s="15" customFormat="1" ht="26.1" customHeight="1" x14ac:dyDescent="0.2">
      <c r="A316" s="1" t="s">
        <v>1193</v>
      </c>
      <c r="B316" s="43" t="s">
        <v>190</v>
      </c>
      <c r="C316" s="46" t="s">
        <v>69</v>
      </c>
      <c r="D316" s="44" t="s">
        <v>203</v>
      </c>
      <c r="E316" s="34">
        <v>13002</v>
      </c>
      <c r="F316" s="46" t="s">
        <v>221</v>
      </c>
      <c r="G316" s="35">
        <v>99000</v>
      </c>
      <c r="H316" s="35">
        <v>99000</v>
      </c>
    </row>
    <row r="317" spans="1:8" s="15" customFormat="1" ht="26.1" customHeight="1" x14ac:dyDescent="0.2">
      <c r="A317" s="1" t="s">
        <v>1193</v>
      </c>
      <c r="B317" s="43" t="s">
        <v>196</v>
      </c>
      <c r="C317" s="46" t="s">
        <v>26</v>
      </c>
      <c r="D317" s="44" t="s">
        <v>66</v>
      </c>
      <c r="E317" s="54">
        <v>13050</v>
      </c>
      <c r="F317" s="46" t="s">
        <v>67</v>
      </c>
      <c r="G317" s="35">
        <v>99000</v>
      </c>
      <c r="H317" s="40">
        <v>40000</v>
      </c>
    </row>
    <row r="318" spans="1:8" s="15" customFormat="1" ht="26.1" customHeight="1" x14ac:dyDescent="0.2">
      <c r="A318" s="1" t="s">
        <v>1193</v>
      </c>
      <c r="B318" s="43" t="s">
        <v>286</v>
      </c>
      <c r="C318" s="46" t="s">
        <v>26</v>
      </c>
      <c r="D318" s="44" t="s">
        <v>27</v>
      </c>
      <c r="E318" s="54" t="s">
        <v>294</v>
      </c>
      <c r="F318" s="46" t="s">
        <v>79</v>
      </c>
      <c r="G318" s="35">
        <v>99000</v>
      </c>
      <c r="H318" s="35">
        <v>5000</v>
      </c>
    </row>
    <row r="319" spans="1:8" s="15" customFormat="1" ht="26.1" customHeight="1" x14ac:dyDescent="0.2">
      <c r="A319" s="1" t="s">
        <v>1193</v>
      </c>
      <c r="B319" s="43" t="s">
        <v>409</v>
      </c>
      <c r="C319" s="46" t="s">
        <v>372</v>
      </c>
      <c r="D319" s="44" t="s">
        <v>376</v>
      </c>
      <c r="E319" s="47">
        <v>13487</v>
      </c>
      <c r="F319" s="46" t="s">
        <v>414</v>
      </c>
      <c r="G319" s="35">
        <v>99000</v>
      </c>
      <c r="H319" s="35">
        <v>99000</v>
      </c>
    </row>
    <row r="320" spans="1:8" s="15" customFormat="1" ht="26.1" customHeight="1" x14ac:dyDescent="0.2">
      <c r="A320" s="1" t="s">
        <v>1193</v>
      </c>
      <c r="B320" s="43" t="s">
        <v>437</v>
      </c>
      <c r="C320" s="46" t="s">
        <v>69</v>
      </c>
      <c r="D320" s="44" t="s">
        <v>439</v>
      </c>
      <c r="E320" s="47">
        <v>13502</v>
      </c>
      <c r="F320" s="46" t="s">
        <v>441</v>
      </c>
      <c r="G320" s="35">
        <v>99000</v>
      </c>
      <c r="H320" s="35">
        <v>99000</v>
      </c>
    </row>
    <row r="321" spans="1:8" s="15" customFormat="1" ht="26.1" customHeight="1" x14ac:dyDescent="0.2">
      <c r="A321" s="1" t="s">
        <v>1193</v>
      </c>
      <c r="B321" s="43" t="s">
        <v>444</v>
      </c>
      <c r="C321" s="46" t="s">
        <v>26</v>
      </c>
      <c r="D321" s="44" t="s">
        <v>450</v>
      </c>
      <c r="E321" s="47">
        <v>13530</v>
      </c>
      <c r="F321" s="46" t="s">
        <v>456</v>
      </c>
      <c r="G321" s="35">
        <v>99000</v>
      </c>
      <c r="H321" s="35">
        <v>99000</v>
      </c>
    </row>
    <row r="322" spans="1:8" s="15" customFormat="1" ht="26.1" customHeight="1" x14ac:dyDescent="0.2">
      <c r="A322" s="1" t="s">
        <v>1193</v>
      </c>
      <c r="B322" s="43" t="s">
        <v>573</v>
      </c>
      <c r="C322" s="46" t="s">
        <v>69</v>
      </c>
      <c r="D322" s="44" t="s">
        <v>577</v>
      </c>
      <c r="E322" s="47">
        <v>13674</v>
      </c>
      <c r="F322" s="46" t="s">
        <v>581</v>
      </c>
      <c r="G322" s="35">
        <v>99000</v>
      </c>
      <c r="H322" s="35">
        <v>99000</v>
      </c>
    </row>
    <row r="323" spans="1:8" s="15" customFormat="1" ht="26.1" customHeight="1" x14ac:dyDescent="0.2">
      <c r="A323" s="1" t="s">
        <v>1193</v>
      </c>
      <c r="B323" s="43" t="s">
        <v>159</v>
      </c>
      <c r="C323" s="46" t="s">
        <v>31</v>
      </c>
      <c r="D323" s="44" t="s">
        <v>168</v>
      </c>
      <c r="E323" s="47">
        <v>13024</v>
      </c>
      <c r="F323" s="46" t="s">
        <v>177</v>
      </c>
      <c r="G323" s="35">
        <f>33050*3</f>
        <v>99150</v>
      </c>
      <c r="H323" s="35">
        <f>33050*3</f>
        <v>99150</v>
      </c>
    </row>
    <row r="324" spans="1:8" s="15" customFormat="1" ht="26.1" customHeight="1" x14ac:dyDescent="0.2">
      <c r="A324" s="1" t="s">
        <v>1193</v>
      </c>
      <c r="B324" s="43" t="s">
        <v>337</v>
      </c>
      <c r="C324" s="46" t="s">
        <v>166</v>
      </c>
      <c r="D324" s="44" t="s">
        <v>85</v>
      </c>
      <c r="E324" s="47">
        <v>13252</v>
      </c>
      <c r="F324" s="46" t="s">
        <v>348</v>
      </c>
      <c r="G324" s="35">
        <v>99500</v>
      </c>
      <c r="H324" s="35">
        <v>99500</v>
      </c>
    </row>
    <row r="325" spans="1:8" s="15" customFormat="1" ht="26.1" customHeight="1" x14ac:dyDescent="0.2">
      <c r="A325" s="1" t="s">
        <v>1193</v>
      </c>
      <c r="B325" s="43" t="s">
        <v>868</v>
      </c>
      <c r="C325" s="46" t="s">
        <v>69</v>
      </c>
      <c r="D325" s="44" t="s">
        <v>562</v>
      </c>
      <c r="E325" s="47">
        <v>14167</v>
      </c>
      <c r="F325" s="46" t="s">
        <v>874</v>
      </c>
      <c r="G325" s="35">
        <v>99540</v>
      </c>
      <c r="H325" s="35">
        <v>99540</v>
      </c>
    </row>
    <row r="326" spans="1:8" s="15" customFormat="1" ht="26.1" customHeight="1" x14ac:dyDescent="0.2">
      <c r="A326" s="1" t="s">
        <v>1193</v>
      </c>
      <c r="B326" s="43" t="s">
        <v>869</v>
      </c>
      <c r="C326" s="46" t="s">
        <v>69</v>
      </c>
      <c r="D326" s="44" t="s">
        <v>562</v>
      </c>
      <c r="E326" s="47">
        <v>14168</v>
      </c>
      <c r="F326" s="46" t="s">
        <v>873</v>
      </c>
      <c r="G326" s="35">
        <v>99540</v>
      </c>
      <c r="H326" s="35">
        <v>99540</v>
      </c>
    </row>
    <row r="327" spans="1:8" s="15" customFormat="1" ht="26.1" customHeight="1" x14ac:dyDescent="0.2">
      <c r="A327" s="1" t="s">
        <v>1193</v>
      </c>
      <c r="B327" s="43" t="s">
        <v>290</v>
      </c>
      <c r="C327" s="46" t="s">
        <v>21</v>
      </c>
      <c r="D327" s="44" t="s">
        <v>57</v>
      </c>
      <c r="E327" s="47">
        <v>13237</v>
      </c>
      <c r="F327" s="46" t="s">
        <v>299</v>
      </c>
      <c r="G327" s="35">
        <f>49900+49900</f>
        <v>99800</v>
      </c>
      <c r="H327" s="35">
        <v>49900</v>
      </c>
    </row>
    <row r="328" spans="1:8" s="15" customFormat="1" ht="26.1" customHeight="1" x14ac:dyDescent="0.2">
      <c r="A328" s="1" t="s">
        <v>1193</v>
      </c>
      <c r="B328" s="43" t="s">
        <v>1090</v>
      </c>
      <c r="C328" s="46" t="s">
        <v>69</v>
      </c>
      <c r="D328" s="44" t="s">
        <v>1096</v>
      </c>
      <c r="E328" s="47">
        <v>14669</v>
      </c>
      <c r="F328" s="46" t="s">
        <v>1104</v>
      </c>
      <c r="G328" s="35">
        <f>34184+35000+35000</f>
        <v>104184</v>
      </c>
      <c r="H328" s="35">
        <f>34184+35000+35000</f>
        <v>104184</v>
      </c>
    </row>
    <row r="329" spans="1:8" s="15" customFormat="1" ht="26.1" customHeight="1" x14ac:dyDescent="0.2">
      <c r="A329" s="1" t="s">
        <v>1193</v>
      </c>
      <c r="B329" s="43" t="s">
        <v>163</v>
      </c>
      <c r="C329" s="46" t="s">
        <v>17</v>
      </c>
      <c r="D329" s="44" t="s">
        <v>172</v>
      </c>
      <c r="E329" s="47">
        <v>13059</v>
      </c>
      <c r="F329" s="46" t="s">
        <v>181</v>
      </c>
      <c r="G329" s="49">
        <f>35000*3</f>
        <v>105000</v>
      </c>
      <c r="H329" s="49">
        <f>35000*3</f>
        <v>105000</v>
      </c>
    </row>
    <row r="330" spans="1:8" s="15" customFormat="1" ht="26.1" customHeight="1" x14ac:dyDescent="0.2">
      <c r="A330" s="1" t="s">
        <v>1193</v>
      </c>
      <c r="B330" s="43" t="s">
        <v>1084</v>
      </c>
      <c r="C330" s="46" t="s">
        <v>20</v>
      </c>
      <c r="D330" s="44" t="s">
        <v>1091</v>
      </c>
      <c r="E330" s="47">
        <v>14516</v>
      </c>
      <c r="F330" s="46" t="s">
        <v>1099</v>
      </c>
      <c r="G330" s="35">
        <f>36000*3</f>
        <v>108000</v>
      </c>
      <c r="H330" s="35">
        <f>36000*3</f>
        <v>108000</v>
      </c>
    </row>
    <row r="331" spans="1:8" s="15" customFormat="1" ht="26.1" customHeight="1" x14ac:dyDescent="0.2">
      <c r="A331" s="1" t="s">
        <v>1193</v>
      </c>
      <c r="B331" s="43" t="s">
        <v>1157</v>
      </c>
      <c r="C331" s="46" t="s">
        <v>23</v>
      </c>
      <c r="D331" s="44" t="s">
        <v>1164</v>
      </c>
      <c r="E331" s="47">
        <v>14890</v>
      </c>
      <c r="F331" s="46" t="s">
        <v>1175</v>
      </c>
      <c r="G331" s="35">
        <f>38886*3</f>
        <v>116658</v>
      </c>
      <c r="H331" s="35">
        <f>38886*3</f>
        <v>116658</v>
      </c>
    </row>
    <row r="332" spans="1:8" s="15" customFormat="1" ht="26.1" customHeight="1" x14ac:dyDescent="0.2">
      <c r="A332" s="1" t="s">
        <v>1193</v>
      </c>
      <c r="B332" s="43" t="s">
        <v>938</v>
      </c>
      <c r="C332" s="46" t="s">
        <v>214</v>
      </c>
      <c r="D332" s="44" t="s">
        <v>955</v>
      </c>
      <c r="E332" s="47">
        <v>14330</v>
      </c>
      <c r="F332" s="46" t="s">
        <v>965</v>
      </c>
      <c r="G332" s="35">
        <f>68308+50000</f>
        <v>118308</v>
      </c>
      <c r="H332" s="35">
        <f>68308+50000</f>
        <v>118308</v>
      </c>
    </row>
    <row r="333" spans="1:8" s="15" customFormat="1" ht="26.1" customHeight="1" x14ac:dyDescent="0.2">
      <c r="A333" s="1" t="s">
        <v>1193</v>
      </c>
      <c r="B333" s="43" t="s">
        <v>114</v>
      </c>
      <c r="C333" s="46" t="s">
        <v>21</v>
      </c>
      <c r="D333" s="44" t="s">
        <v>127</v>
      </c>
      <c r="E333" s="47">
        <v>12891</v>
      </c>
      <c r="F333" s="46" t="s">
        <v>146</v>
      </c>
      <c r="G333" s="35">
        <f>40000*3</f>
        <v>120000</v>
      </c>
      <c r="H333" s="35">
        <f>40000*3</f>
        <v>120000</v>
      </c>
    </row>
    <row r="334" spans="1:8" s="15" customFormat="1" ht="26.1" customHeight="1" x14ac:dyDescent="0.2">
      <c r="A334" s="1" t="s">
        <v>1193</v>
      </c>
      <c r="B334" s="43" t="s">
        <v>338</v>
      </c>
      <c r="C334" s="46" t="s">
        <v>21</v>
      </c>
      <c r="D334" s="44" t="s">
        <v>56</v>
      </c>
      <c r="E334" s="47">
        <v>13258</v>
      </c>
      <c r="F334" s="46" t="s">
        <v>54</v>
      </c>
      <c r="G334" s="35">
        <f>60000*2</f>
        <v>120000</v>
      </c>
      <c r="H334" s="35">
        <f>60000*2</f>
        <v>120000</v>
      </c>
    </row>
    <row r="335" spans="1:8" s="15" customFormat="1" ht="26.1" customHeight="1" x14ac:dyDescent="0.2">
      <c r="A335" s="1" t="s">
        <v>1193</v>
      </c>
      <c r="B335" s="43" t="s">
        <v>971</v>
      </c>
      <c r="C335" s="46" t="s">
        <v>17</v>
      </c>
      <c r="D335" s="44" t="s">
        <v>981</v>
      </c>
      <c r="E335" s="47">
        <v>14169</v>
      </c>
      <c r="F335" s="46" t="s">
        <v>992</v>
      </c>
      <c r="G335" s="35">
        <f>45000*3</f>
        <v>135000</v>
      </c>
      <c r="H335" s="35">
        <f>45000*3</f>
        <v>135000</v>
      </c>
    </row>
    <row r="336" spans="1:8" s="15" customFormat="1" ht="26.1" customHeight="1" x14ac:dyDescent="0.2">
      <c r="A336" s="1" t="s">
        <v>1193</v>
      </c>
      <c r="B336" s="43" t="s">
        <v>243</v>
      </c>
      <c r="C336" s="46" t="s">
        <v>21</v>
      </c>
      <c r="D336" s="44" t="s">
        <v>262</v>
      </c>
      <c r="E336" s="47">
        <v>13185</v>
      </c>
      <c r="F336" s="46" t="s">
        <v>78</v>
      </c>
      <c r="G336" s="35">
        <f>45482*3</f>
        <v>136446</v>
      </c>
      <c r="H336" s="35">
        <f>45482*3</f>
        <v>136446</v>
      </c>
    </row>
    <row r="337" spans="1:8" s="15" customFormat="1" ht="26.1" customHeight="1" x14ac:dyDescent="0.2">
      <c r="A337" s="1" t="s">
        <v>1193</v>
      </c>
      <c r="B337" s="43" t="s">
        <v>624</v>
      </c>
      <c r="C337" s="46" t="s">
        <v>69</v>
      </c>
      <c r="D337" s="44" t="s">
        <v>639</v>
      </c>
      <c r="E337" s="47">
        <v>13766</v>
      </c>
      <c r="F337" s="46" t="s">
        <v>649</v>
      </c>
      <c r="G337" s="35">
        <f>42320+47800+47800</f>
        <v>137920</v>
      </c>
      <c r="H337" s="35">
        <f>42320+47800+47800</f>
        <v>137920</v>
      </c>
    </row>
    <row r="338" spans="1:8" s="15" customFormat="1" ht="26.1" customHeight="1" x14ac:dyDescent="0.2">
      <c r="A338" s="1" t="s">
        <v>1193</v>
      </c>
      <c r="B338" s="43" t="s">
        <v>837</v>
      </c>
      <c r="C338" s="46" t="s">
        <v>30</v>
      </c>
      <c r="D338" s="44" t="s">
        <v>845</v>
      </c>
      <c r="E338" s="47">
        <v>14097</v>
      </c>
      <c r="F338" s="46" t="s">
        <v>853</v>
      </c>
      <c r="G338" s="35">
        <f>47021*3</f>
        <v>141063</v>
      </c>
      <c r="H338" s="35">
        <f>47021*3</f>
        <v>141063</v>
      </c>
    </row>
    <row r="339" spans="1:8" s="15" customFormat="1" ht="26.1" customHeight="1" x14ac:dyDescent="0.2">
      <c r="A339" s="1" t="s">
        <v>1193</v>
      </c>
      <c r="B339" s="43" t="s">
        <v>1117</v>
      </c>
      <c r="C339" s="46" t="s">
        <v>69</v>
      </c>
      <c r="D339" s="44" t="s">
        <v>1122</v>
      </c>
      <c r="E339" s="47">
        <v>14670</v>
      </c>
      <c r="F339" s="46" t="s">
        <v>1127</v>
      </c>
      <c r="G339" s="35">
        <f>48000*3</f>
        <v>144000</v>
      </c>
      <c r="H339" s="35">
        <f>48000*3</f>
        <v>144000</v>
      </c>
    </row>
    <row r="340" spans="1:8" s="15" customFormat="1" ht="26.1" customHeight="1" x14ac:dyDescent="0.2">
      <c r="A340" s="1" t="s">
        <v>1193</v>
      </c>
      <c r="B340" s="43" t="s">
        <v>551</v>
      </c>
      <c r="C340" s="46" t="s">
        <v>69</v>
      </c>
      <c r="D340" s="44" t="s">
        <v>562</v>
      </c>
      <c r="E340" s="47">
        <v>13698</v>
      </c>
      <c r="F340" s="46" t="s">
        <v>569</v>
      </c>
      <c r="G340" s="35">
        <f>48700*3</f>
        <v>146100</v>
      </c>
      <c r="H340" s="35">
        <f>48700*3</f>
        <v>146100</v>
      </c>
    </row>
    <row r="341" spans="1:8" s="15" customFormat="1" ht="26.1" customHeight="1" x14ac:dyDescent="0.2">
      <c r="A341" s="1" t="s">
        <v>1193</v>
      </c>
      <c r="B341" s="43" t="s">
        <v>235</v>
      </c>
      <c r="C341" s="46" t="s">
        <v>22</v>
      </c>
      <c r="D341" s="44" t="s">
        <v>256</v>
      </c>
      <c r="E341" s="47">
        <v>13045</v>
      </c>
      <c r="F341" s="46" t="s">
        <v>272</v>
      </c>
      <c r="G341" s="35">
        <f>49000*3</f>
        <v>147000</v>
      </c>
      <c r="H341" s="35">
        <f>49000*3</f>
        <v>147000</v>
      </c>
    </row>
    <row r="342" spans="1:8" s="15" customFormat="1" ht="26.1" customHeight="1" x14ac:dyDescent="0.2">
      <c r="A342" s="1" t="s">
        <v>1193</v>
      </c>
      <c r="B342" s="43" t="s">
        <v>186</v>
      </c>
      <c r="C342" s="46" t="s">
        <v>21</v>
      </c>
      <c r="D342" s="44" t="s">
        <v>76</v>
      </c>
      <c r="E342" s="34">
        <v>12972</v>
      </c>
      <c r="F342" s="46" t="s">
        <v>217</v>
      </c>
      <c r="G342" s="35">
        <f>50000*3</f>
        <v>150000</v>
      </c>
      <c r="H342" s="35">
        <f>50000*3</f>
        <v>150000</v>
      </c>
    </row>
    <row r="343" spans="1:8" s="15" customFormat="1" ht="26.1" customHeight="1" x14ac:dyDescent="0.2">
      <c r="A343" s="1" t="s">
        <v>1193</v>
      </c>
      <c r="B343" s="43" t="s">
        <v>187</v>
      </c>
      <c r="C343" s="46" t="s">
        <v>21</v>
      </c>
      <c r="D343" s="44" t="s">
        <v>201</v>
      </c>
      <c r="E343" s="34">
        <v>12973</v>
      </c>
      <c r="F343" s="46" t="s">
        <v>218</v>
      </c>
      <c r="G343" s="35">
        <f>50000*3</f>
        <v>150000</v>
      </c>
      <c r="H343" s="35">
        <f>50000*3</f>
        <v>150000</v>
      </c>
    </row>
    <row r="344" spans="1:8" s="15" customFormat="1" ht="26.1" customHeight="1" x14ac:dyDescent="0.2">
      <c r="A344" s="1" t="s">
        <v>1193</v>
      </c>
      <c r="B344" s="43" t="s">
        <v>735</v>
      </c>
      <c r="C344" s="46" t="s">
        <v>21</v>
      </c>
      <c r="D344" s="44" t="s">
        <v>741</v>
      </c>
      <c r="E344" s="47">
        <v>13889</v>
      </c>
      <c r="F344" s="46" t="s">
        <v>749</v>
      </c>
      <c r="G344" s="35">
        <f>50000*3</f>
        <v>150000</v>
      </c>
      <c r="H344" s="35">
        <f>50000*3</f>
        <v>150000</v>
      </c>
    </row>
    <row r="345" spans="1:8" s="15" customFormat="1" ht="26.1" customHeight="1" x14ac:dyDescent="0.2">
      <c r="A345" s="1" t="s">
        <v>1193</v>
      </c>
      <c r="B345" s="43" t="s">
        <v>388</v>
      </c>
      <c r="C345" s="46" t="s">
        <v>69</v>
      </c>
      <c r="D345" s="44" t="s">
        <v>58</v>
      </c>
      <c r="E345" s="47">
        <v>13407</v>
      </c>
      <c r="F345" s="46" t="s">
        <v>391</v>
      </c>
      <c r="G345" s="35">
        <f>52530*3</f>
        <v>157590</v>
      </c>
      <c r="H345" s="35">
        <f>52530*3</f>
        <v>157590</v>
      </c>
    </row>
    <row r="346" spans="1:8" s="15" customFormat="1" ht="26.1" customHeight="1" x14ac:dyDescent="0.2">
      <c r="A346" s="1" t="s">
        <v>1193</v>
      </c>
      <c r="B346" s="43" t="s">
        <v>829</v>
      </c>
      <c r="C346" s="46" t="s">
        <v>20</v>
      </c>
      <c r="D346" s="44" t="s">
        <v>832</v>
      </c>
      <c r="E346" s="47">
        <v>14076</v>
      </c>
      <c r="F346" s="46" t="s">
        <v>835</v>
      </c>
      <c r="G346" s="35">
        <f>3*55000</f>
        <v>165000</v>
      </c>
      <c r="H346" s="35">
        <f>3*55000</f>
        <v>165000</v>
      </c>
    </row>
    <row r="347" spans="1:8" s="15" customFormat="1" ht="26.1" customHeight="1" x14ac:dyDescent="0.2">
      <c r="A347" s="1" t="s">
        <v>1193</v>
      </c>
      <c r="B347" s="43" t="s">
        <v>731</v>
      </c>
      <c r="C347" s="46" t="s">
        <v>69</v>
      </c>
      <c r="D347" s="44" t="s">
        <v>578</v>
      </c>
      <c r="E347" s="47">
        <v>13771</v>
      </c>
      <c r="F347" s="46" t="s">
        <v>746</v>
      </c>
      <c r="G347" s="35">
        <f>52440+55000+58000</f>
        <v>165440</v>
      </c>
      <c r="H347" s="35">
        <f>52440+55000+58000</f>
        <v>165440</v>
      </c>
    </row>
    <row r="348" spans="1:8" s="15" customFormat="1" ht="26.1" customHeight="1" x14ac:dyDescent="0.2">
      <c r="A348" s="1" t="s">
        <v>1193</v>
      </c>
      <c r="B348" s="43" t="s">
        <v>90</v>
      </c>
      <c r="C348" s="46" t="s">
        <v>21</v>
      </c>
      <c r="D348" s="44" t="s">
        <v>95</v>
      </c>
      <c r="E348" s="34">
        <v>12958</v>
      </c>
      <c r="F348" s="46" t="s">
        <v>98</v>
      </c>
      <c r="G348" s="35">
        <f>56333*3</f>
        <v>168999</v>
      </c>
      <c r="H348" s="35">
        <f>56333*3</f>
        <v>168999</v>
      </c>
    </row>
    <row r="349" spans="1:8" s="15" customFormat="1" ht="26.1" customHeight="1" x14ac:dyDescent="0.2">
      <c r="A349" s="1" t="s">
        <v>1193</v>
      </c>
      <c r="B349" s="43" t="s">
        <v>574</v>
      </c>
      <c r="C349" s="46" t="s">
        <v>69</v>
      </c>
      <c r="D349" s="44" t="s">
        <v>578</v>
      </c>
      <c r="E349" s="47">
        <v>13696</v>
      </c>
      <c r="F349" s="46" t="s">
        <v>583</v>
      </c>
      <c r="G349" s="35">
        <f>59408*3</f>
        <v>178224</v>
      </c>
      <c r="H349" s="35">
        <f>59408*3</f>
        <v>178224</v>
      </c>
    </row>
    <row r="350" spans="1:8" s="15" customFormat="1" ht="26.1" customHeight="1" x14ac:dyDescent="0.2">
      <c r="A350" s="1" t="s">
        <v>1193</v>
      </c>
      <c r="B350" s="43" t="s">
        <v>198</v>
      </c>
      <c r="C350" s="46" t="s">
        <v>31</v>
      </c>
      <c r="D350" s="44" t="s">
        <v>71</v>
      </c>
      <c r="E350" s="54">
        <v>13087</v>
      </c>
      <c r="F350" s="46" t="s">
        <v>228</v>
      </c>
      <c r="G350" s="35">
        <f>60000*3</f>
        <v>180000</v>
      </c>
      <c r="H350" s="35">
        <f>60000*3</f>
        <v>180000</v>
      </c>
    </row>
    <row r="351" spans="1:8" s="15" customFormat="1" ht="26.1" customHeight="1" x14ac:dyDescent="0.2">
      <c r="A351" s="1" t="s">
        <v>1193</v>
      </c>
      <c r="B351" s="43" t="s">
        <v>585</v>
      </c>
      <c r="C351" s="46" t="s">
        <v>21</v>
      </c>
      <c r="D351" s="44" t="s">
        <v>588</v>
      </c>
      <c r="E351" s="47">
        <v>13646</v>
      </c>
      <c r="F351" s="46" t="s">
        <v>669</v>
      </c>
      <c r="G351" s="35">
        <f>60000*3</f>
        <v>180000</v>
      </c>
      <c r="H351" s="35">
        <f>60000*3</f>
        <v>180000</v>
      </c>
    </row>
    <row r="352" spans="1:8" s="15" customFormat="1" ht="26.1" customHeight="1" x14ac:dyDescent="0.2">
      <c r="A352" s="1" t="s">
        <v>1193</v>
      </c>
      <c r="B352" s="43" t="s">
        <v>934</v>
      </c>
      <c r="C352" s="46" t="s">
        <v>21</v>
      </c>
      <c r="D352" s="44" t="s">
        <v>952</v>
      </c>
      <c r="E352" s="47">
        <v>14238</v>
      </c>
      <c r="F352" s="46" t="s">
        <v>962</v>
      </c>
      <c r="G352" s="35">
        <f>60000*3</f>
        <v>180000</v>
      </c>
      <c r="H352" s="35">
        <f>60000*3</f>
        <v>180000</v>
      </c>
    </row>
    <row r="353" spans="1:8" s="15" customFormat="1" ht="26.1" customHeight="1" x14ac:dyDescent="0.2">
      <c r="A353" s="1" t="s">
        <v>1193</v>
      </c>
      <c r="B353" s="43" t="s">
        <v>1004</v>
      </c>
      <c r="C353" s="46" t="s">
        <v>20</v>
      </c>
      <c r="D353" s="44" t="s">
        <v>1007</v>
      </c>
      <c r="E353" s="47">
        <v>14509</v>
      </c>
      <c r="F353" s="46" t="s">
        <v>1010</v>
      </c>
      <c r="G353" s="35">
        <f>60000*3</f>
        <v>180000</v>
      </c>
      <c r="H353" s="35">
        <f>60000*3</f>
        <v>180000</v>
      </c>
    </row>
    <row r="354" spans="1:8" s="15" customFormat="1" ht="26.1" customHeight="1" x14ac:dyDescent="0.2">
      <c r="A354" s="1" t="s">
        <v>1193</v>
      </c>
      <c r="B354" s="43" t="s">
        <v>212</v>
      </c>
      <c r="C354" s="46" t="s">
        <v>214</v>
      </c>
      <c r="D354" s="44" t="s">
        <v>215</v>
      </c>
      <c r="E354" s="34">
        <v>13121</v>
      </c>
      <c r="F354" s="46" t="s">
        <v>230</v>
      </c>
      <c r="G354" s="35">
        <f>92920*2</f>
        <v>185840</v>
      </c>
      <c r="H354" s="35">
        <f>92920*2</f>
        <v>185840</v>
      </c>
    </row>
    <row r="355" spans="1:8" s="15" customFormat="1" ht="26.1" customHeight="1" x14ac:dyDescent="0.2">
      <c r="A355" s="1" t="s">
        <v>1193</v>
      </c>
      <c r="B355" s="43" t="s">
        <v>501</v>
      </c>
      <c r="C355" s="46" t="s">
        <v>17</v>
      </c>
      <c r="D355" s="44" t="s">
        <v>508</v>
      </c>
      <c r="E355" s="47">
        <v>13643</v>
      </c>
      <c r="F355" s="46" t="s">
        <v>515</v>
      </c>
      <c r="G355" s="35">
        <f>62525*3</f>
        <v>187575</v>
      </c>
      <c r="H355" s="35">
        <f>62525*3</f>
        <v>187575</v>
      </c>
    </row>
    <row r="356" spans="1:8" s="15" customFormat="1" ht="26.1" customHeight="1" x14ac:dyDescent="0.2">
      <c r="A356" s="1" t="s">
        <v>1193</v>
      </c>
      <c r="B356" s="43" t="s">
        <v>1179</v>
      </c>
      <c r="C356" s="43" t="s">
        <v>166</v>
      </c>
      <c r="D356" s="43" t="s">
        <v>1181</v>
      </c>
      <c r="E356" s="47">
        <v>14825</v>
      </c>
      <c r="F356" s="46" t="s">
        <v>1182</v>
      </c>
      <c r="G356" s="35">
        <f>97500*2</f>
        <v>195000</v>
      </c>
      <c r="H356" s="35">
        <f>97500*2</f>
        <v>195000</v>
      </c>
    </row>
    <row r="357" spans="1:8" s="15" customFormat="1" ht="26.1" customHeight="1" x14ac:dyDescent="0.2">
      <c r="A357" s="1" t="s">
        <v>1193</v>
      </c>
      <c r="B357" s="43" t="s">
        <v>193</v>
      </c>
      <c r="C357" s="46" t="s">
        <v>25</v>
      </c>
      <c r="D357" s="44" t="s">
        <v>61</v>
      </c>
      <c r="E357" s="34">
        <v>13021</v>
      </c>
      <c r="F357" s="46" t="s">
        <v>224</v>
      </c>
      <c r="G357" s="35">
        <f>99000*2</f>
        <v>198000</v>
      </c>
      <c r="H357" s="35">
        <f>99000*2</f>
        <v>198000</v>
      </c>
    </row>
    <row r="358" spans="1:8" s="15" customFormat="1" ht="26.1" customHeight="1" x14ac:dyDescent="0.2">
      <c r="A358" s="1" t="s">
        <v>1193</v>
      </c>
      <c r="B358" s="43" t="s">
        <v>1067</v>
      </c>
      <c r="C358" s="46" t="s">
        <v>17</v>
      </c>
      <c r="D358" s="44" t="s">
        <v>1072</v>
      </c>
      <c r="E358" s="47">
        <v>14530</v>
      </c>
      <c r="F358" s="46" t="s">
        <v>1078</v>
      </c>
      <c r="G358" s="35">
        <f>99000*2</f>
        <v>198000</v>
      </c>
      <c r="H358" s="35">
        <f>99000*2</f>
        <v>198000</v>
      </c>
    </row>
    <row r="359" spans="1:8" s="15" customFormat="1" ht="26.1" customHeight="1" x14ac:dyDescent="0.2">
      <c r="A359" s="1" t="s">
        <v>1193</v>
      </c>
      <c r="B359" s="43" t="s">
        <v>1053</v>
      </c>
      <c r="C359" s="46" t="s">
        <v>21</v>
      </c>
      <c r="D359" s="44" t="s">
        <v>1057</v>
      </c>
      <c r="E359" s="47">
        <v>14556</v>
      </c>
      <c r="F359" s="46" t="s">
        <v>1063</v>
      </c>
      <c r="G359" s="35">
        <f>99489+99489</f>
        <v>198978</v>
      </c>
      <c r="H359" s="35">
        <f>99489+99489</f>
        <v>198978</v>
      </c>
    </row>
    <row r="360" spans="1:8" s="15" customFormat="1" ht="26.1" customHeight="1" x14ac:dyDescent="0.2">
      <c r="A360" s="1" t="s">
        <v>1193</v>
      </c>
      <c r="B360" s="43" t="s">
        <v>289</v>
      </c>
      <c r="C360" s="46" t="s">
        <v>19</v>
      </c>
      <c r="D360" s="44" t="s">
        <v>59</v>
      </c>
      <c r="E360" s="47">
        <v>13206</v>
      </c>
      <c r="F360" s="46" t="s">
        <v>297</v>
      </c>
      <c r="G360" s="35">
        <f>73431*3</f>
        <v>220293</v>
      </c>
      <c r="H360" s="35">
        <f>73431*3</f>
        <v>220293</v>
      </c>
    </row>
    <row r="361" spans="1:8" s="15" customFormat="1" ht="26.1" customHeight="1" x14ac:dyDescent="0.2">
      <c r="A361" s="1" t="s">
        <v>1193</v>
      </c>
      <c r="B361" s="43" t="s">
        <v>937</v>
      </c>
      <c r="C361" s="46" t="s">
        <v>69</v>
      </c>
      <c r="D361" s="44" t="s">
        <v>954</v>
      </c>
      <c r="E361" s="47">
        <v>14296</v>
      </c>
      <c r="F361" s="46" t="s">
        <v>1185</v>
      </c>
      <c r="G361" s="35">
        <f>75000*3</f>
        <v>225000</v>
      </c>
      <c r="H361" s="35">
        <f>75000*3</f>
        <v>225000</v>
      </c>
    </row>
    <row r="362" spans="1:8" s="15" customFormat="1" ht="26.1" customHeight="1" x14ac:dyDescent="0.2">
      <c r="A362" s="1" t="s">
        <v>1193</v>
      </c>
      <c r="B362" s="43" t="s">
        <v>870</v>
      </c>
      <c r="C362" s="46" t="s">
        <v>21</v>
      </c>
      <c r="D362" s="44" t="s">
        <v>871</v>
      </c>
      <c r="E362" s="47">
        <v>14177</v>
      </c>
      <c r="F362" s="46" t="s">
        <v>872</v>
      </c>
      <c r="G362" s="35">
        <f>80000*3</f>
        <v>240000</v>
      </c>
      <c r="H362" s="35">
        <f>80000*3</f>
        <v>240000</v>
      </c>
    </row>
    <row r="363" spans="1:8" s="15" customFormat="1" ht="26.1" customHeight="1" x14ac:dyDescent="0.2">
      <c r="A363" s="1" t="s">
        <v>1193</v>
      </c>
      <c r="B363" s="43" t="s">
        <v>888</v>
      </c>
      <c r="C363" s="46" t="s">
        <v>22</v>
      </c>
      <c r="D363" s="44" t="s">
        <v>892</v>
      </c>
      <c r="E363" s="47">
        <v>14266</v>
      </c>
      <c r="F363" s="46" t="s">
        <v>897</v>
      </c>
      <c r="G363" s="35">
        <f>49000+98000+98000</f>
        <v>245000</v>
      </c>
      <c r="H363" s="35">
        <f>49000+98000+98000</f>
        <v>245000</v>
      </c>
    </row>
    <row r="364" spans="1:8" s="15" customFormat="1" ht="26.1" customHeight="1" x14ac:dyDescent="0.2">
      <c r="A364" s="1" t="s">
        <v>1193</v>
      </c>
      <c r="B364" s="43" t="s">
        <v>945</v>
      </c>
      <c r="C364" s="46" t="s">
        <v>372</v>
      </c>
      <c r="D364" s="44" t="s">
        <v>960</v>
      </c>
      <c r="E364" s="47">
        <v>14434</v>
      </c>
      <c r="F364" s="46" t="s">
        <v>969</v>
      </c>
      <c r="G364" s="35">
        <f>84000*3</f>
        <v>252000</v>
      </c>
      <c r="H364" s="35">
        <f>84000*3</f>
        <v>252000</v>
      </c>
    </row>
    <row r="365" spans="1:8" s="15" customFormat="1" ht="26.1" customHeight="1" x14ac:dyDescent="0.2">
      <c r="A365" s="1" t="s">
        <v>1193</v>
      </c>
      <c r="B365" s="43" t="s">
        <v>387</v>
      </c>
      <c r="C365" s="46" t="s">
        <v>69</v>
      </c>
      <c r="D365" s="44" t="s">
        <v>389</v>
      </c>
      <c r="E365" s="47">
        <v>13393</v>
      </c>
      <c r="F365" s="46" t="s">
        <v>390</v>
      </c>
      <c r="G365" s="35">
        <f>87000*3</f>
        <v>261000</v>
      </c>
      <c r="H365" s="35">
        <f>87000*3</f>
        <v>261000</v>
      </c>
    </row>
    <row r="366" spans="1:8" s="15" customFormat="1" ht="26.1" customHeight="1" x14ac:dyDescent="0.2">
      <c r="A366" s="1" t="s">
        <v>1193</v>
      </c>
      <c r="B366" s="43" t="s">
        <v>354</v>
      </c>
      <c r="C366" s="46" t="s">
        <v>19</v>
      </c>
      <c r="D366" s="44" t="s">
        <v>358</v>
      </c>
      <c r="E366" s="47">
        <v>13356</v>
      </c>
      <c r="F366" s="46" t="s">
        <v>363</v>
      </c>
      <c r="G366" s="35">
        <f>89000*3</f>
        <v>267000</v>
      </c>
      <c r="H366" s="35">
        <f>89000*3</f>
        <v>267000</v>
      </c>
    </row>
    <row r="367" spans="1:8" s="15" customFormat="1" ht="26.1" customHeight="1" x14ac:dyDescent="0.2">
      <c r="A367" s="1" t="s">
        <v>1193</v>
      </c>
      <c r="B367" s="43" t="s">
        <v>188</v>
      </c>
      <c r="C367" s="46" t="s">
        <v>21</v>
      </c>
      <c r="D367" s="44" t="s">
        <v>202</v>
      </c>
      <c r="E367" s="34">
        <v>12974</v>
      </c>
      <c r="F367" s="46" t="s">
        <v>219</v>
      </c>
      <c r="G367" s="49">
        <f>90000*3</f>
        <v>270000</v>
      </c>
      <c r="H367" s="49">
        <f>90000*3</f>
        <v>270000</v>
      </c>
    </row>
    <row r="368" spans="1:8" s="15" customFormat="1" ht="26.1" customHeight="1" x14ac:dyDescent="0.2">
      <c r="A368" s="1" t="s">
        <v>1193</v>
      </c>
      <c r="B368" s="43" t="s">
        <v>191</v>
      </c>
      <c r="C368" s="46" t="s">
        <v>21</v>
      </c>
      <c r="D368" s="44" t="s">
        <v>204</v>
      </c>
      <c r="E368" s="34">
        <v>13009</v>
      </c>
      <c r="F368" s="46" t="s">
        <v>222</v>
      </c>
      <c r="G368" s="49">
        <f>90000*3</f>
        <v>270000</v>
      </c>
      <c r="H368" s="49">
        <f>90000*3</f>
        <v>270000</v>
      </c>
    </row>
    <row r="369" spans="1:8" s="15" customFormat="1" ht="26.1" customHeight="1" x14ac:dyDescent="0.2">
      <c r="A369" s="1" t="s">
        <v>1193</v>
      </c>
      <c r="B369" s="43" t="s">
        <v>192</v>
      </c>
      <c r="C369" s="46" t="s">
        <v>21</v>
      </c>
      <c r="D369" s="44" t="s">
        <v>205</v>
      </c>
      <c r="E369" s="34">
        <v>13011</v>
      </c>
      <c r="F369" s="46" t="s">
        <v>223</v>
      </c>
      <c r="G369" s="49">
        <f>90000*3</f>
        <v>270000</v>
      </c>
      <c r="H369" s="49">
        <f>90000*3</f>
        <v>270000</v>
      </c>
    </row>
    <row r="370" spans="1:8" s="15" customFormat="1" ht="26.1" customHeight="1" x14ac:dyDescent="0.2">
      <c r="A370" s="1" t="s">
        <v>1193</v>
      </c>
      <c r="B370" s="43" t="s">
        <v>288</v>
      </c>
      <c r="C370" s="46" t="s">
        <v>21</v>
      </c>
      <c r="D370" s="44" t="s">
        <v>292</v>
      </c>
      <c r="E370" s="47">
        <v>13194</v>
      </c>
      <c r="F370" s="46" t="s">
        <v>296</v>
      </c>
      <c r="G370" s="35">
        <f>90000*3</f>
        <v>270000</v>
      </c>
      <c r="H370" s="35">
        <f>90000*3</f>
        <v>270000</v>
      </c>
    </row>
    <row r="371" spans="1:8" s="15" customFormat="1" ht="26.1" customHeight="1" x14ac:dyDescent="0.2">
      <c r="A371" s="1" t="s">
        <v>1193</v>
      </c>
      <c r="B371" s="43" t="s">
        <v>734</v>
      </c>
      <c r="C371" s="46" t="s">
        <v>21</v>
      </c>
      <c r="D371" s="44" t="s">
        <v>511</v>
      </c>
      <c r="E371" s="47">
        <v>13883</v>
      </c>
      <c r="F371" s="46" t="s">
        <v>751</v>
      </c>
      <c r="G371" s="35">
        <f>90000*3</f>
        <v>270000</v>
      </c>
      <c r="H371" s="35">
        <f>90000*3</f>
        <v>270000</v>
      </c>
    </row>
    <row r="372" spans="1:8" s="15" customFormat="1" ht="26.1" customHeight="1" x14ac:dyDescent="0.2">
      <c r="A372" s="1" t="s">
        <v>1193</v>
      </c>
      <c r="B372" s="43" t="s">
        <v>827</v>
      </c>
      <c r="C372" s="46" t="s">
        <v>30</v>
      </c>
      <c r="D372" s="44" t="s">
        <v>830</v>
      </c>
      <c r="E372" s="47">
        <v>13663</v>
      </c>
      <c r="F372" s="46" t="s">
        <v>833</v>
      </c>
      <c r="G372" s="35">
        <f>90077*3</f>
        <v>270231</v>
      </c>
      <c r="H372" s="35">
        <f>90077*3</f>
        <v>270231</v>
      </c>
    </row>
    <row r="373" spans="1:8" s="15" customFormat="1" ht="26.1" customHeight="1" x14ac:dyDescent="0.2">
      <c r="A373" s="1" t="s">
        <v>1193</v>
      </c>
      <c r="B373" s="43" t="s">
        <v>197</v>
      </c>
      <c r="C373" s="46" t="s">
        <v>69</v>
      </c>
      <c r="D373" s="44" t="s">
        <v>80</v>
      </c>
      <c r="E373" s="34">
        <v>13076</v>
      </c>
      <c r="F373" s="46" t="s">
        <v>227</v>
      </c>
      <c r="G373" s="35">
        <f>93000*3</f>
        <v>279000</v>
      </c>
      <c r="H373" s="35">
        <f>93000*3</f>
        <v>279000</v>
      </c>
    </row>
    <row r="374" spans="1:8" s="15" customFormat="1" ht="26.1" customHeight="1" x14ac:dyDescent="0.2">
      <c r="A374" s="1" t="s">
        <v>1193</v>
      </c>
      <c r="B374" s="43" t="s">
        <v>195</v>
      </c>
      <c r="C374" s="46" t="s">
        <v>21</v>
      </c>
      <c r="D374" s="44" t="s">
        <v>207</v>
      </c>
      <c r="E374" s="47">
        <v>13043</v>
      </c>
      <c r="F374" s="46" t="s">
        <v>226</v>
      </c>
      <c r="G374" s="35">
        <f>95000*3</f>
        <v>285000</v>
      </c>
      <c r="H374" s="35">
        <f>95000*3</f>
        <v>285000</v>
      </c>
    </row>
    <row r="375" spans="1:8" s="15" customFormat="1" ht="26.1" customHeight="1" x14ac:dyDescent="0.2">
      <c r="A375" s="1" t="s">
        <v>1193</v>
      </c>
      <c r="B375" s="43" t="s">
        <v>334</v>
      </c>
      <c r="C375" s="46" t="s">
        <v>21</v>
      </c>
      <c r="D375" s="44" t="s">
        <v>341</v>
      </c>
      <c r="E375" s="54">
        <v>13247</v>
      </c>
      <c r="F375" s="46" t="s">
        <v>346</v>
      </c>
      <c r="G375" s="35">
        <f>95000*3</f>
        <v>285000</v>
      </c>
      <c r="H375" s="35">
        <f>95000*3</f>
        <v>285000</v>
      </c>
    </row>
    <row r="376" spans="1:8" s="15" customFormat="1" ht="26.1" customHeight="1" x14ac:dyDescent="0.2">
      <c r="A376" s="1" t="s">
        <v>1193</v>
      </c>
      <c r="B376" s="43" t="s">
        <v>351</v>
      </c>
      <c r="C376" s="46" t="s">
        <v>22</v>
      </c>
      <c r="D376" s="44" t="s">
        <v>355</v>
      </c>
      <c r="E376" s="47">
        <v>13344</v>
      </c>
      <c r="F376" s="46" t="s">
        <v>360</v>
      </c>
      <c r="G376" s="35">
        <f>95000*3</f>
        <v>285000</v>
      </c>
      <c r="H376" s="35">
        <f>95000*3</f>
        <v>285000</v>
      </c>
    </row>
    <row r="377" spans="1:8" s="15" customFormat="1" ht="26.1" customHeight="1" x14ac:dyDescent="0.2">
      <c r="A377" s="1" t="s">
        <v>1193</v>
      </c>
      <c r="B377" s="43" t="s">
        <v>352</v>
      </c>
      <c r="C377" s="46" t="s">
        <v>22</v>
      </c>
      <c r="D377" s="44" t="s">
        <v>356</v>
      </c>
      <c r="E377" s="47">
        <v>13345</v>
      </c>
      <c r="F377" s="46" t="s">
        <v>361</v>
      </c>
      <c r="G377" s="35">
        <f>95000*3</f>
        <v>285000</v>
      </c>
      <c r="H377" s="35">
        <f>95000*3</f>
        <v>285000</v>
      </c>
    </row>
    <row r="378" spans="1:8" s="15" customFormat="1" ht="26.1" customHeight="1" x14ac:dyDescent="0.2">
      <c r="A378" s="1" t="s">
        <v>1193</v>
      </c>
      <c r="B378" s="43" t="s">
        <v>505</v>
      </c>
      <c r="C378" s="46" t="s">
        <v>21</v>
      </c>
      <c r="D378" s="44" t="s">
        <v>512</v>
      </c>
      <c r="E378" s="47">
        <v>13536</v>
      </c>
      <c r="F378" s="46" t="s">
        <v>519</v>
      </c>
      <c r="G378" s="35">
        <f>95000*3</f>
        <v>285000</v>
      </c>
      <c r="H378" s="35">
        <f>95000*3</f>
        <v>285000</v>
      </c>
    </row>
    <row r="379" spans="1:8" s="15" customFormat="1" ht="26.1" customHeight="1" x14ac:dyDescent="0.2">
      <c r="A379" s="1" t="s">
        <v>1193</v>
      </c>
      <c r="B379" s="43" t="s">
        <v>506</v>
      </c>
      <c r="C379" s="46" t="s">
        <v>21</v>
      </c>
      <c r="D379" s="44" t="s">
        <v>513</v>
      </c>
      <c r="E379" s="47">
        <v>13535</v>
      </c>
      <c r="F379" s="46" t="s">
        <v>519</v>
      </c>
      <c r="G379" s="35">
        <f>95000*3</f>
        <v>285000</v>
      </c>
      <c r="H379" s="35">
        <f>95000*3</f>
        <v>285000</v>
      </c>
    </row>
    <row r="380" spans="1:8" s="15" customFormat="1" ht="26.1" customHeight="1" x14ac:dyDescent="0.2">
      <c r="A380" s="1" t="s">
        <v>1193</v>
      </c>
      <c r="B380" s="43" t="s">
        <v>91</v>
      </c>
      <c r="C380" s="46" t="s">
        <v>21</v>
      </c>
      <c r="D380" s="44" t="s">
        <v>48</v>
      </c>
      <c r="E380" s="47">
        <v>12975</v>
      </c>
      <c r="F380" s="46" t="s">
        <v>100</v>
      </c>
      <c r="G380" s="49">
        <f>98000*3</f>
        <v>294000</v>
      </c>
      <c r="H380" s="49">
        <f>98000*3</f>
        <v>294000</v>
      </c>
    </row>
    <row r="381" spans="1:8" s="15" customFormat="1" ht="26.1" customHeight="1" x14ac:dyDescent="0.2">
      <c r="A381" s="1" t="s">
        <v>1193</v>
      </c>
      <c r="B381" s="43" t="s">
        <v>335</v>
      </c>
      <c r="C381" s="46" t="s">
        <v>21</v>
      </c>
      <c r="D381" s="44" t="s">
        <v>342</v>
      </c>
      <c r="E381" s="47">
        <v>13248</v>
      </c>
      <c r="F381" s="46" t="s">
        <v>347</v>
      </c>
      <c r="G381" s="35">
        <f>98000*3</f>
        <v>294000</v>
      </c>
      <c r="H381" s="35">
        <f>98000*3</f>
        <v>294000</v>
      </c>
    </row>
    <row r="382" spans="1:8" s="15" customFormat="1" ht="26.1" customHeight="1" x14ac:dyDescent="0.2">
      <c r="A382" s="1" t="s">
        <v>1193</v>
      </c>
      <c r="B382" s="43" t="s">
        <v>336</v>
      </c>
      <c r="C382" s="46" t="s">
        <v>21</v>
      </c>
      <c r="D382" s="44" t="s">
        <v>343</v>
      </c>
      <c r="E382" s="47">
        <v>13249</v>
      </c>
      <c r="F382" s="46" t="s">
        <v>347</v>
      </c>
      <c r="G382" s="35">
        <f>98000*3</f>
        <v>294000</v>
      </c>
      <c r="H382" s="35">
        <f>98000*3</f>
        <v>294000</v>
      </c>
    </row>
    <row r="383" spans="1:8" s="15" customFormat="1" ht="26.1" customHeight="1" x14ac:dyDescent="0.2">
      <c r="A383" s="1" t="s">
        <v>1193</v>
      </c>
      <c r="B383" s="43" t="s">
        <v>339</v>
      </c>
      <c r="C383" s="46" t="s">
        <v>21</v>
      </c>
      <c r="D383" s="44" t="s">
        <v>344</v>
      </c>
      <c r="E383" s="47">
        <v>13271</v>
      </c>
      <c r="F383" s="46" t="s">
        <v>347</v>
      </c>
      <c r="G383" s="35">
        <f>98000*3</f>
        <v>294000</v>
      </c>
      <c r="H383" s="35">
        <f>98000*3</f>
        <v>294000</v>
      </c>
    </row>
    <row r="384" spans="1:8" s="15" customFormat="1" ht="26.1" customHeight="1" x14ac:dyDescent="0.2">
      <c r="A384" s="1" t="s">
        <v>1193</v>
      </c>
      <c r="B384" s="43" t="s">
        <v>407</v>
      </c>
      <c r="C384" s="46" t="s">
        <v>21</v>
      </c>
      <c r="D384" s="44" t="s">
        <v>410</v>
      </c>
      <c r="E384" s="47">
        <v>13387</v>
      </c>
      <c r="F384" s="46" t="s">
        <v>412</v>
      </c>
      <c r="G384" s="35">
        <f>98000*3</f>
        <v>294000</v>
      </c>
      <c r="H384" s="35">
        <f>98000*3</f>
        <v>294000</v>
      </c>
    </row>
    <row r="385" spans="1:8" s="15" customFormat="1" ht="26.1" customHeight="1" x14ac:dyDescent="0.2">
      <c r="A385" s="1" t="s">
        <v>1193</v>
      </c>
      <c r="B385" s="43" t="s">
        <v>678</v>
      </c>
      <c r="C385" s="46" t="s">
        <v>21</v>
      </c>
      <c r="D385" s="44" t="s">
        <v>684</v>
      </c>
      <c r="E385" s="47">
        <v>13388</v>
      </c>
      <c r="F385" s="46" t="s">
        <v>681</v>
      </c>
      <c r="G385" s="35">
        <f>98000*3</f>
        <v>294000</v>
      </c>
      <c r="H385" s="35">
        <f>98000*3</f>
        <v>294000</v>
      </c>
    </row>
    <row r="386" spans="1:8" s="15" customFormat="1" ht="26.1" customHeight="1" x14ac:dyDescent="0.2">
      <c r="A386" s="1" t="s">
        <v>1193</v>
      </c>
      <c r="B386" s="43" t="s">
        <v>941</v>
      </c>
      <c r="C386" s="46" t="s">
        <v>21</v>
      </c>
      <c r="D386" s="44" t="s">
        <v>957</v>
      </c>
      <c r="E386" s="47">
        <v>14364</v>
      </c>
      <c r="F386" s="46" t="s">
        <v>968</v>
      </c>
      <c r="G386" s="35">
        <f>98000*3</f>
        <v>294000</v>
      </c>
      <c r="H386" s="35">
        <f>G386</f>
        <v>294000</v>
      </c>
    </row>
    <row r="387" spans="1:8" s="15" customFormat="1" ht="26.1" customHeight="1" x14ac:dyDescent="0.2">
      <c r="A387" s="1" t="s">
        <v>1193</v>
      </c>
      <c r="B387" s="43" t="s">
        <v>942</v>
      </c>
      <c r="C387" s="46" t="s">
        <v>21</v>
      </c>
      <c r="D387" s="44" t="s">
        <v>958</v>
      </c>
      <c r="E387" s="47">
        <v>14365</v>
      </c>
      <c r="F387" s="46" t="s">
        <v>223</v>
      </c>
      <c r="G387" s="35">
        <f>98000*3</f>
        <v>294000</v>
      </c>
      <c r="H387" s="35">
        <f>G387</f>
        <v>294000</v>
      </c>
    </row>
    <row r="388" spans="1:8" s="15" customFormat="1" ht="26.1" customHeight="1" x14ac:dyDescent="0.2">
      <c r="A388" s="1" t="s">
        <v>1193</v>
      </c>
      <c r="B388" s="43" t="s">
        <v>944</v>
      </c>
      <c r="C388" s="46" t="s">
        <v>21</v>
      </c>
      <c r="D388" s="44" t="s">
        <v>959</v>
      </c>
      <c r="E388" s="47">
        <v>14368</v>
      </c>
      <c r="F388" s="46" t="s">
        <v>223</v>
      </c>
      <c r="G388" s="35">
        <f>98000*3</f>
        <v>294000</v>
      </c>
      <c r="H388" s="35">
        <f>G388</f>
        <v>294000</v>
      </c>
    </row>
    <row r="389" spans="1:8" s="15" customFormat="1" ht="26.1" customHeight="1" x14ac:dyDescent="0.2">
      <c r="A389" s="1" t="s">
        <v>1193</v>
      </c>
      <c r="B389" s="43" t="s">
        <v>1069</v>
      </c>
      <c r="C389" s="46" t="s">
        <v>21</v>
      </c>
      <c r="D389" s="44" t="s">
        <v>1073</v>
      </c>
      <c r="E389" s="47">
        <v>14585</v>
      </c>
      <c r="F389" s="46" t="s">
        <v>1080</v>
      </c>
      <c r="G389" s="35">
        <f>98000*3</f>
        <v>294000</v>
      </c>
      <c r="H389" s="35">
        <f>98000*3</f>
        <v>294000</v>
      </c>
    </row>
    <row r="390" spans="1:8" s="15" customFormat="1" ht="26.1" customHeight="1" x14ac:dyDescent="0.2">
      <c r="A390" s="1" t="s">
        <v>1193</v>
      </c>
      <c r="B390" s="43" t="s">
        <v>500</v>
      </c>
      <c r="C390" s="46" t="s">
        <v>69</v>
      </c>
      <c r="D390" s="44" t="s">
        <v>507</v>
      </c>
      <c r="E390" s="47">
        <v>13665</v>
      </c>
      <c r="F390" s="46" t="s">
        <v>514</v>
      </c>
      <c r="G390" s="35">
        <f>98400+99000+99000</f>
        <v>296400</v>
      </c>
      <c r="H390" s="35">
        <f>98400+99000+99000</f>
        <v>296400</v>
      </c>
    </row>
    <row r="391" spans="1:8" s="15" customFormat="1" ht="26.1" customHeight="1" x14ac:dyDescent="0.2">
      <c r="A391" s="1" t="s">
        <v>1193</v>
      </c>
      <c r="B391" s="43" t="s">
        <v>194</v>
      </c>
      <c r="C391" s="46" t="s">
        <v>199</v>
      </c>
      <c r="D391" s="44" t="s">
        <v>206</v>
      </c>
      <c r="E391" s="34">
        <v>13022</v>
      </c>
      <c r="F391" s="46" t="s">
        <v>225</v>
      </c>
      <c r="G391" s="35">
        <f>98880*3</f>
        <v>296640</v>
      </c>
      <c r="H391" s="35">
        <f>98880*3</f>
        <v>296640</v>
      </c>
    </row>
    <row r="392" spans="1:8" s="15" customFormat="1" ht="26.1" customHeight="1" x14ac:dyDescent="0.2">
      <c r="A392" s="1" t="s">
        <v>1193</v>
      </c>
      <c r="B392" s="43" t="s">
        <v>189</v>
      </c>
      <c r="C392" s="46" t="s">
        <v>20</v>
      </c>
      <c r="D392" s="44" t="s">
        <v>65</v>
      </c>
      <c r="E392" s="47">
        <v>13325</v>
      </c>
      <c r="F392" s="46" t="s">
        <v>220</v>
      </c>
      <c r="G392" s="35">
        <f>99000*3</f>
        <v>297000</v>
      </c>
      <c r="H392" s="35">
        <f>99000*3</f>
        <v>297000</v>
      </c>
    </row>
    <row r="393" spans="1:8" s="15" customFormat="1" ht="26.1" customHeight="1" x14ac:dyDescent="0.2">
      <c r="A393" s="1" t="s">
        <v>1193</v>
      </c>
      <c r="B393" s="43" t="s">
        <v>504</v>
      </c>
      <c r="C393" s="46" t="s">
        <v>21</v>
      </c>
      <c r="D393" s="44" t="s">
        <v>511</v>
      </c>
      <c r="E393" s="47">
        <v>13574</v>
      </c>
      <c r="F393" s="46" t="s">
        <v>517</v>
      </c>
      <c r="G393" s="35">
        <f>99000*3</f>
        <v>297000</v>
      </c>
      <c r="H393" s="35">
        <f>99000*3</f>
        <v>297000</v>
      </c>
    </row>
    <row r="394" spans="1:8" s="15" customFormat="1" ht="26.1" customHeight="1" x14ac:dyDescent="0.2">
      <c r="A394" s="1" t="s">
        <v>1193</v>
      </c>
      <c r="B394" s="43" t="s">
        <v>575</v>
      </c>
      <c r="C394" s="46" t="s">
        <v>69</v>
      </c>
      <c r="D394" s="44" t="s">
        <v>579</v>
      </c>
      <c r="E394" s="47">
        <v>13701</v>
      </c>
      <c r="F394" s="46" t="s">
        <v>582</v>
      </c>
      <c r="G394" s="35">
        <f>99000*3</f>
        <v>297000</v>
      </c>
      <c r="H394" s="35">
        <f>99000*3</f>
        <v>297000</v>
      </c>
    </row>
    <row r="395" spans="1:8" s="15" customFormat="1" ht="26.1" customHeight="1" x14ac:dyDescent="0.2">
      <c r="A395" s="1" t="s">
        <v>1193</v>
      </c>
      <c r="B395" s="43" t="s">
        <v>610</v>
      </c>
      <c r="C395" s="46" t="s">
        <v>611</v>
      </c>
      <c r="D395" s="44" t="s">
        <v>613</v>
      </c>
      <c r="E395" s="47" t="s">
        <v>615</v>
      </c>
      <c r="F395" s="46" t="s">
        <v>616</v>
      </c>
      <c r="G395" s="35">
        <f>99000*3</f>
        <v>297000</v>
      </c>
      <c r="H395" s="35">
        <f>99000*3</f>
        <v>297000</v>
      </c>
    </row>
    <row r="396" spans="1:8" s="15" customFormat="1" ht="26.1" customHeight="1" x14ac:dyDescent="0.2">
      <c r="A396" s="1" t="s">
        <v>1193</v>
      </c>
      <c r="B396" s="43" t="s">
        <v>933</v>
      </c>
      <c r="C396" s="46" t="s">
        <v>21</v>
      </c>
      <c r="D396" s="44" t="s">
        <v>511</v>
      </c>
      <c r="E396" s="47">
        <v>14057</v>
      </c>
      <c r="F396" s="46" t="s">
        <v>1184</v>
      </c>
      <c r="G396" s="35">
        <f>99000*3</f>
        <v>297000</v>
      </c>
      <c r="H396" s="35">
        <f>99000*3</f>
        <v>297000</v>
      </c>
    </row>
    <row r="397" spans="1:8" s="15" customFormat="1" ht="26.1" customHeight="1" x14ac:dyDescent="0.2">
      <c r="A397" s="1" t="s">
        <v>1193</v>
      </c>
      <c r="B397" s="43" t="s">
        <v>1054</v>
      </c>
      <c r="C397" s="46" t="s">
        <v>69</v>
      </c>
      <c r="D397" s="44" t="s">
        <v>1058</v>
      </c>
      <c r="E397" s="47">
        <v>14558</v>
      </c>
      <c r="F397" s="46" t="s">
        <v>1064</v>
      </c>
      <c r="G397" s="35">
        <f>99000*3</f>
        <v>297000</v>
      </c>
      <c r="H397" s="35">
        <f>99000*3</f>
        <v>297000</v>
      </c>
    </row>
    <row r="398" spans="1:8" s="15" customFormat="1" ht="26.1" customHeight="1" x14ac:dyDescent="0.2">
      <c r="A398" s="1" t="s">
        <v>1193</v>
      </c>
      <c r="B398" s="43" t="s">
        <v>1111</v>
      </c>
      <c r="C398" s="46" t="s">
        <v>22</v>
      </c>
      <c r="D398" s="44" t="s">
        <v>1112</v>
      </c>
      <c r="E398" s="47">
        <v>14694</v>
      </c>
      <c r="F398" s="46" t="s">
        <v>1114</v>
      </c>
      <c r="G398" s="35">
        <f>99000*3</f>
        <v>297000</v>
      </c>
      <c r="H398" s="35">
        <f>99000*3</f>
        <v>297000</v>
      </c>
    </row>
    <row r="399" spans="1:8" s="15" customFormat="1" ht="26.1" customHeight="1" x14ac:dyDescent="0.2">
      <c r="A399" s="1" t="s">
        <v>1193</v>
      </c>
      <c r="B399" s="43" t="s">
        <v>87</v>
      </c>
      <c r="C399" s="46" t="s">
        <v>21</v>
      </c>
      <c r="D399" s="45" t="s">
        <v>93</v>
      </c>
      <c r="E399" s="54">
        <v>12776</v>
      </c>
      <c r="F399" s="46" t="s">
        <v>97</v>
      </c>
      <c r="G399" s="35">
        <f>99350*3</f>
        <v>298050</v>
      </c>
      <c r="H399" s="35">
        <f>99350*3</f>
        <v>298050</v>
      </c>
    </row>
    <row r="400" spans="1:8" s="15" customFormat="1" ht="26.1" customHeight="1" x14ac:dyDescent="0.2">
      <c r="A400" s="1" t="s">
        <v>1193</v>
      </c>
      <c r="B400" s="43" t="s">
        <v>889</v>
      </c>
      <c r="C400" s="46" t="s">
        <v>22</v>
      </c>
      <c r="D400" s="44" t="s">
        <v>893</v>
      </c>
      <c r="E400" s="47">
        <v>14265</v>
      </c>
      <c r="F400" s="46" t="s">
        <v>896</v>
      </c>
      <c r="G400" s="35">
        <f>99850*3</f>
        <v>299550</v>
      </c>
      <c r="H400" s="35">
        <f>99850*3</f>
        <v>299550</v>
      </c>
    </row>
    <row r="401" spans="1:21" s="15" customFormat="1" ht="26.25" customHeight="1" x14ac:dyDescent="0.2">
      <c r="A401" s="76"/>
      <c r="B401" s="43"/>
      <c r="C401" s="46"/>
      <c r="D401" s="44"/>
      <c r="E401" s="34"/>
      <c r="F401" s="46"/>
      <c r="G401" s="35"/>
      <c r="H401" s="40"/>
    </row>
    <row r="402" spans="1:21" s="20" customFormat="1" ht="26.25" customHeight="1" x14ac:dyDescent="0.2">
      <c r="A402" s="25"/>
      <c r="B402" s="14"/>
      <c r="C402" s="27"/>
      <c r="D402" s="33"/>
      <c r="E402" s="33"/>
      <c r="F402" s="11" t="s">
        <v>4</v>
      </c>
      <c r="G402" s="26">
        <f>SUM(G2:G401)</f>
        <v>28613348</v>
      </c>
      <c r="H402" s="26">
        <f>SUM(H2:H401)</f>
        <v>31178009</v>
      </c>
    </row>
    <row r="403" spans="1:21" s="20" customFormat="1" ht="26.25" customHeight="1" x14ac:dyDescent="0.2">
      <c r="A403" s="25"/>
      <c r="B403" s="21"/>
      <c r="C403" s="22"/>
      <c r="D403" s="23"/>
      <c r="E403" s="23"/>
      <c r="F403" s="22"/>
      <c r="G403" s="19"/>
      <c r="H403" s="19"/>
    </row>
    <row r="404" spans="1:21" ht="26.25" customHeight="1" x14ac:dyDescent="0.2">
      <c r="B404" s="30"/>
      <c r="C404" s="31"/>
      <c r="D404" s="4"/>
      <c r="G404" s="19"/>
      <c r="H404" s="19"/>
    </row>
    <row r="405" spans="1:21" ht="27" customHeight="1" x14ac:dyDescent="0.25">
      <c r="B405"/>
      <c r="C405" s="12"/>
      <c r="D405" s="2"/>
      <c r="F405" s="59" t="s">
        <v>1186</v>
      </c>
      <c r="G405" s="60">
        <f>COUNTIF(A2:A400, "x")</f>
        <v>399</v>
      </c>
      <c r="H405" s="60">
        <f>+SUM(G2:G400 )</f>
        <v>28613348</v>
      </c>
    </row>
    <row r="406" spans="1:21" ht="27" customHeight="1" x14ac:dyDescent="0.25">
      <c r="B406"/>
      <c r="C406" s="12"/>
      <c r="D406" s="2"/>
      <c r="F406" s="59"/>
      <c r="G406" s="61"/>
      <c r="H406" s="62"/>
    </row>
    <row r="407" spans="1:21" ht="27" customHeight="1" x14ac:dyDescent="0.25">
      <c r="B407"/>
      <c r="C407" s="12"/>
      <c r="D407" s="2"/>
      <c r="F407" s="63" t="s">
        <v>1187</v>
      </c>
      <c r="G407" s="60">
        <f>COUNTIF(A2:A148, "x")</f>
        <v>147</v>
      </c>
      <c r="H407" s="60">
        <f>+SUM(G2:G148 )</f>
        <v>1974854</v>
      </c>
    </row>
    <row r="408" spans="1:21" ht="27" customHeight="1" x14ac:dyDescent="0.25">
      <c r="B408"/>
      <c r="C408" s="12"/>
      <c r="D408" s="2"/>
      <c r="F408" s="63" t="s">
        <v>1188</v>
      </c>
      <c r="G408" s="60">
        <f>COUNTIF(A149:A243, "x")</f>
        <v>95</v>
      </c>
      <c r="H408" s="60">
        <f>+SUM(G149:G243 )</f>
        <v>3472388</v>
      </c>
    </row>
    <row r="409" spans="1:21" ht="27" customHeight="1" x14ac:dyDescent="0.25">
      <c r="B409"/>
      <c r="C409" s="12"/>
      <c r="D409" s="2"/>
      <c r="F409" s="63" t="s">
        <v>1189</v>
      </c>
      <c r="G409" s="60">
        <f>COUNTIF(A244:A400, "x")</f>
        <v>157</v>
      </c>
      <c r="H409" s="60">
        <f>+SUM(G244:G400 )</f>
        <v>23166106</v>
      </c>
    </row>
    <row r="410" spans="1:21" ht="27" customHeight="1" x14ac:dyDescent="0.25">
      <c r="B410"/>
      <c r="C410" s="12"/>
      <c r="D410" s="2"/>
      <c r="F410" s="63" t="s">
        <v>1190</v>
      </c>
      <c r="G410" s="60">
        <v>0</v>
      </c>
      <c r="H410" s="64">
        <v>0</v>
      </c>
    </row>
    <row r="411" spans="1:21" ht="27" customHeight="1" x14ac:dyDescent="0.25">
      <c r="B411"/>
      <c r="C411" s="12"/>
      <c r="D411" s="2"/>
      <c r="F411" s="63" t="s">
        <v>1191</v>
      </c>
      <c r="G411" s="60">
        <v>0</v>
      </c>
      <c r="H411" s="64">
        <v>0</v>
      </c>
    </row>
    <row r="412" spans="1:21" ht="27" customHeight="1" x14ac:dyDescent="0.25">
      <c r="B412"/>
      <c r="C412" s="12"/>
      <c r="D412" s="2"/>
      <c r="F412" s="63"/>
      <c r="G412" s="61"/>
      <c r="H412" s="62"/>
    </row>
    <row r="413" spans="1:21" ht="27" customHeight="1" x14ac:dyDescent="0.25">
      <c r="B413"/>
      <c r="C413" s="12"/>
      <c r="D413" s="2"/>
      <c r="F413" s="65" t="s">
        <v>1192</v>
      </c>
      <c r="G413" s="60">
        <f>SUM(G407:G412)</f>
        <v>399</v>
      </c>
      <c r="H413" s="62">
        <f>SUM(H407:H412)</f>
        <v>28613348</v>
      </c>
    </row>
    <row r="414" spans="1:21" x14ac:dyDescent="0.2">
      <c r="D414" s="4"/>
    </row>
    <row r="415" spans="1:21" x14ac:dyDescent="0.2">
      <c r="D415" s="4"/>
    </row>
    <row r="416" spans="1:21" s="4" customFormat="1" x14ac:dyDescent="0.2">
      <c r="A416" s="1"/>
      <c r="B416" s="12"/>
      <c r="C416" s="2"/>
      <c r="F416" s="2"/>
      <c r="G416" s="3"/>
      <c r="H416" s="3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s="4" customFormat="1" x14ac:dyDescent="0.2">
      <c r="A417" s="1"/>
      <c r="B417" s="12"/>
      <c r="C417" s="2"/>
      <c r="F417" s="2"/>
      <c r="G417" s="3"/>
      <c r="H417" s="3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s="4" customFormat="1" x14ac:dyDescent="0.2">
      <c r="A418" s="1"/>
      <c r="B418" s="12"/>
      <c r="C418" s="2"/>
      <c r="F418" s="2"/>
      <c r="G418" s="3"/>
      <c r="H418" s="3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s="4" customFormat="1" x14ac:dyDescent="0.2">
      <c r="A419" s="1"/>
      <c r="B419" s="12"/>
      <c r="C419" s="2"/>
      <c r="F419" s="2"/>
      <c r="G419" s="3"/>
      <c r="H419" s="3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s="4" customFormat="1" x14ac:dyDescent="0.2">
      <c r="A420" s="1"/>
      <c r="B420" s="12"/>
      <c r="C420" s="2"/>
      <c r="F420" s="2"/>
      <c r="G420" s="3"/>
      <c r="H420" s="3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s="4" customFormat="1" x14ac:dyDescent="0.2">
      <c r="A421" s="1"/>
      <c r="B421" s="12"/>
      <c r="C421" s="2"/>
      <c r="F421" s="2"/>
      <c r="G421" s="3"/>
      <c r="H421" s="3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s="4" customFormat="1" x14ac:dyDescent="0.2">
      <c r="A422" s="1"/>
      <c r="B422" s="12"/>
      <c r="C422" s="2"/>
      <c r="F422" s="2"/>
      <c r="G422" s="3"/>
      <c r="H422" s="3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s="4" customFormat="1" x14ac:dyDescent="0.2">
      <c r="A423" s="1"/>
      <c r="B423" s="12"/>
      <c r="C423" s="2"/>
      <c r="F423" s="2"/>
      <c r="G423" s="3"/>
      <c r="H423" s="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s="4" customFormat="1" x14ac:dyDescent="0.2">
      <c r="A424" s="1"/>
      <c r="B424" s="12"/>
      <c r="C424" s="2"/>
      <c r="F424" s="2"/>
      <c r="G424" s="3"/>
      <c r="H424" s="3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s="4" customFormat="1" x14ac:dyDescent="0.2">
      <c r="A425" s="1"/>
      <c r="B425" s="12"/>
      <c r="C425" s="2"/>
      <c r="F425" s="2"/>
      <c r="G425" s="3"/>
      <c r="H425" s="3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s="4" customFormat="1" x14ac:dyDescent="0.2">
      <c r="A426" s="1"/>
      <c r="B426" s="12"/>
      <c r="C426" s="2"/>
      <c r="F426" s="2"/>
      <c r="G426" s="3"/>
      <c r="H426" s="3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s="4" customFormat="1" x14ac:dyDescent="0.2">
      <c r="A427" s="1"/>
      <c r="B427" s="12"/>
      <c r="C427" s="2"/>
      <c r="F427" s="2"/>
      <c r="G427" s="3"/>
      <c r="H427" s="3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s="4" customFormat="1" x14ac:dyDescent="0.2">
      <c r="A428" s="1"/>
      <c r="B428" s="12"/>
      <c r="C428" s="2"/>
      <c r="F428" s="2"/>
      <c r="G428" s="3"/>
      <c r="H428" s="3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s="4" customFormat="1" x14ac:dyDescent="0.2">
      <c r="A429" s="1"/>
      <c r="B429" s="12"/>
      <c r="C429" s="2"/>
      <c r="F429" s="2"/>
      <c r="G429" s="3"/>
      <c r="H429" s="3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s="4" customFormat="1" x14ac:dyDescent="0.2">
      <c r="A430" s="1"/>
      <c r="B430" s="12"/>
      <c r="C430" s="2"/>
      <c r="F430" s="2"/>
      <c r="G430" s="3"/>
      <c r="H430" s="3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s="4" customFormat="1" x14ac:dyDescent="0.2">
      <c r="A431" s="1"/>
      <c r="B431" s="12"/>
      <c r="C431" s="2"/>
      <c r="F431" s="2"/>
      <c r="G431" s="3"/>
      <c r="H431" s="3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s="4" customFormat="1" x14ac:dyDescent="0.2">
      <c r="A432" s="1"/>
      <c r="B432" s="12"/>
      <c r="C432" s="2"/>
      <c r="F432" s="2"/>
      <c r="G432" s="3"/>
      <c r="H432" s="3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s="4" customFormat="1" x14ac:dyDescent="0.2">
      <c r="A433" s="1"/>
      <c r="B433" s="12"/>
      <c r="C433" s="2"/>
      <c r="F433" s="2"/>
      <c r="G433" s="3"/>
      <c r="H433" s="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s="4" customFormat="1" x14ac:dyDescent="0.2">
      <c r="A434" s="1"/>
      <c r="B434" s="12"/>
      <c r="C434" s="2"/>
      <c r="F434" s="2"/>
      <c r="G434" s="3"/>
      <c r="H434" s="3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s="4" customFormat="1" x14ac:dyDescent="0.2">
      <c r="A435" s="1"/>
      <c r="B435" s="12"/>
      <c r="C435" s="2"/>
      <c r="F435" s="2"/>
      <c r="G435" s="3"/>
      <c r="H435" s="3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s="4" customFormat="1" x14ac:dyDescent="0.2">
      <c r="A436" s="1"/>
      <c r="B436" s="12"/>
      <c r="C436" s="2"/>
      <c r="F436" s="2"/>
      <c r="G436" s="3"/>
      <c r="H436" s="3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s="4" customFormat="1" x14ac:dyDescent="0.2">
      <c r="A437" s="1"/>
      <c r="B437" s="12"/>
      <c r="C437" s="2"/>
      <c r="F437" s="2"/>
      <c r="G437" s="3"/>
      <c r="H437" s="3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s="4" customFormat="1" x14ac:dyDescent="0.2">
      <c r="A438" s="1"/>
      <c r="B438" s="12"/>
      <c r="C438" s="2"/>
      <c r="F438" s="2"/>
      <c r="G438" s="3"/>
      <c r="H438" s="3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s="4" customFormat="1" x14ac:dyDescent="0.2">
      <c r="A439" s="1"/>
      <c r="B439" s="12"/>
      <c r="C439" s="2"/>
      <c r="F439" s="2"/>
      <c r="G439" s="3"/>
      <c r="H439" s="3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s="4" customFormat="1" x14ac:dyDescent="0.2">
      <c r="A440" s="1"/>
      <c r="B440" s="12"/>
      <c r="C440" s="2"/>
      <c r="F440" s="2"/>
      <c r="G440" s="3"/>
      <c r="H440" s="3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s="4" customFormat="1" x14ac:dyDescent="0.2">
      <c r="A441" s="1"/>
      <c r="B441" s="12"/>
      <c r="C441" s="2"/>
      <c r="F441" s="2"/>
      <c r="G441" s="3"/>
      <c r="H441" s="3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s="4" customFormat="1" x14ac:dyDescent="0.2">
      <c r="A442" s="1"/>
      <c r="B442" s="12"/>
      <c r="C442" s="2"/>
      <c r="F442" s="2"/>
      <c r="G442" s="3"/>
      <c r="H442" s="3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s="4" customFormat="1" x14ac:dyDescent="0.2">
      <c r="A443" s="1"/>
      <c r="B443" s="12"/>
      <c r="C443" s="2"/>
      <c r="F443" s="2"/>
      <c r="G443" s="3"/>
      <c r="H443" s="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s="4" customFormat="1" x14ac:dyDescent="0.2">
      <c r="A444" s="1"/>
      <c r="B444" s="12"/>
      <c r="C444" s="2"/>
      <c r="F444" s="2"/>
      <c r="G444" s="3"/>
      <c r="H444" s="3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s="4" customFormat="1" x14ac:dyDescent="0.2">
      <c r="A445" s="1"/>
      <c r="B445" s="12"/>
      <c r="C445" s="2"/>
      <c r="F445" s="2"/>
      <c r="G445" s="3"/>
      <c r="H445" s="3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s="4" customFormat="1" x14ac:dyDescent="0.2">
      <c r="A446" s="1"/>
      <c r="B446" s="12"/>
      <c r="C446" s="2"/>
      <c r="F446" s="2"/>
      <c r="G446" s="3"/>
      <c r="H446" s="3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s="4" customFormat="1" x14ac:dyDescent="0.2">
      <c r="A447" s="1"/>
      <c r="B447" s="12"/>
      <c r="C447" s="2"/>
      <c r="F447" s="2"/>
      <c r="G447" s="3"/>
      <c r="H447" s="3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s="4" customFormat="1" x14ac:dyDescent="0.2">
      <c r="A448" s="1"/>
      <c r="B448" s="12"/>
      <c r="C448" s="2"/>
      <c r="F448" s="2"/>
      <c r="G448" s="3"/>
      <c r="H448" s="3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s="4" customFormat="1" x14ac:dyDescent="0.2">
      <c r="A449" s="1"/>
      <c r="B449" s="12"/>
      <c r="C449" s="2"/>
      <c r="F449" s="2"/>
      <c r="G449" s="3"/>
      <c r="H449" s="3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s="4" customFormat="1" x14ac:dyDescent="0.2">
      <c r="A450" s="1"/>
      <c r="B450" s="12"/>
      <c r="C450" s="2"/>
      <c r="F450" s="2"/>
      <c r="G450" s="3"/>
      <c r="H450" s="3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s="4" customFormat="1" x14ac:dyDescent="0.2">
      <c r="A451" s="1"/>
      <c r="B451" s="12"/>
      <c r="C451" s="2"/>
      <c r="F451" s="2"/>
      <c r="G451" s="3"/>
      <c r="H451" s="3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s="4" customFormat="1" x14ac:dyDescent="0.2">
      <c r="A452" s="1"/>
      <c r="B452" s="12"/>
      <c r="C452" s="2"/>
      <c r="F452" s="2"/>
      <c r="G452" s="3"/>
      <c r="H452" s="3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s="4" customFormat="1" x14ac:dyDescent="0.2">
      <c r="A453" s="1"/>
      <c r="B453" s="12"/>
      <c r="C453" s="2"/>
      <c r="F453" s="2"/>
      <c r="G453" s="3"/>
      <c r="H453" s="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s="4" customFormat="1" x14ac:dyDescent="0.2">
      <c r="A454" s="1"/>
      <c r="B454" s="12"/>
      <c r="C454" s="2"/>
      <c r="F454" s="2"/>
      <c r="G454" s="3"/>
      <c r="H454" s="3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s="4" customFormat="1" x14ac:dyDescent="0.2">
      <c r="A455" s="1"/>
      <c r="B455" s="12"/>
      <c r="C455" s="2"/>
      <c r="F455" s="2"/>
      <c r="G455" s="3"/>
      <c r="H455" s="3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s="4" customFormat="1" x14ac:dyDescent="0.2">
      <c r="A456" s="1"/>
      <c r="B456" s="12"/>
      <c r="C456" s="2"/>
      <c r="F456" s="2"/>
      <c r="G456" s="3"/>
      <c r="H456" s="3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s="4" customFormat="1" x14ac:dyDescent="0.2">
      <c r="A457" s="1"/>
      <c r="B457" s="12"/>
      <c r="C457" s="2"/>
      <c r="F457" s="2"/>
      <c r="G457" s="3"/>
      <c r="H457" s="3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s="4" customFormat="1" x14ac:dyDescent="0.2">
      <c r="A458" s="1"/>
      <c r="B458" s="12"/>
      <c r="C458" s="2"/>
      <c r="F458" s="2"/>
      <c r="G458" s="3"/>
      <c r="H458" s="3"/>
      <c r="I458"/>
      <c r="J458"/>
      <c r="K458"/>
      <c r="L458"/>
      <c r="M458"/>
      <c r="N458"/>
      <c r="O458"/>
      <c r="P458"/>
      <c r="Q458"/>
      <c r="R458"/>
      <c r="S458"/>
      <c r="T458"/>
      <c r="U458"/>
    </row>
  </sheetData>
  <sortState ref="B2:H400">
    <sortCondition ref="G2:G400"/>
  </sortState>
  <printOptions horizontalCentered="1"/>
  <pageMargins left="0.25" right="0.25" top="0.85" bottom="0.25" header="0.26" footer="0.31"/>
  <pageSetup scale="65" orientation="portrait" horizontalDpi="4294967293" verticalDpi="4294967293" r:id="rId1"/>
  <headerFooter alignWithMargins="0">
    <oddHeader>&amp;C&amp;"Arial,Bold"&amp;11 1153 FY2017
SUMMARY REPORT
BY REPORT NUMBER
As of June 30, 2017&amp;RRun Date: &amp;D      &amp;T     
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B14" sqref="B14"/>
    </sheetView>
  </sheetViews>
  <sheetFormatPr defaultRowHeight="12.75" x14ac:dyDescent="0.2"/>
  <cols>
    <col min="1" max="1" width="9.7109375" customWidth="1"/>
    <col min="2" max="2" width="53.7109375" customWidth="1"/>
    <col min="3" max="3" width="15.7109375" customWidth="1"/>
    <col min="4" max="4" width="23.7109375" customWidth="1"/>
  </cols>
  <sheetData>
    <row r="3" spans="1:4" ht="36" x14ac:dyDescent="0.25">
      <c r="A3" s="66"/>
      <c r="B3" s="67" t="s">
        <v>8</v>
      </c>
      <c r="C3" s="68"/>
      <c r="D3" s="69" t="s">
        <v>9</v>
      </c>
    </row>
    <row r="6" spans="1:4" ht="20.25" x14ac:dyDescent="0.3">
      <c r="B6" s="70" t="s">
        <v>1186</v>
      </c>
      <c r="C6" s="71">
        <v>399</v>
      </c>
      <c r="D6" s="72">
        <v>28613348</v>
      </c>
    </row>
    <row r="7" spans="1:4" ht="20.25" x14ac:dyDescent="0.3">
      <c r="B7" s="73"/>
      <c r="C7" s="71"/>
      <c r="D7" s="72"/>
    </row>
    <row r="8" spans="1:4" ht="20.25" x14ac:dyDescent="0.3">
      <c r="B8" s="74" t="s">
        <v>1187</v>
      </c>
      <c r="C8" s="71">
        <v>147</v>
      </c>
      <c r="D8" s="72">
        <v>1974854</v>
      </c>
    </row>
    <row r="9" spans="1:4" ht="20.25" x14ac:dyDescent="0.3">
      <c r="B9" s="74" t="s">
        <v>1188</v>
      </c>
      <c r="C9" s="71">
        <v>95</v>
      </c>
      <c r="D9" s="72">
        <v>3472388</v>
      </c>
    </row>
    <row r="10" spans="1:4" ht="20.25" x14ac:dyDescent="0.3">
      <c r="B10" s="74" t="s">
        <v>1189</v>
      </c>
      <c r="C10" s="71">
        <v>157</v>
      </c>
      <c r="D10" s="72">
        <v>23166106</v>
      </c>
    </row>
    <row r="11" spans="1:4" ht="20.25" x14ac:dyDescent="0.3">
      <c r="B11" s="74" t="s">
        <v>1190</v>
      </c>
      <c r="C11" s="71">
        <v>0</v>
      </c>
      <c r="D11" s="72">
        <v>0</v>
      </c>
    </row>
    <row r="12" spans="1:4" ht="20.25" x14ac:dyDescent="0.3">
      <c r="B12" s="74" t="s">
        <v>1191</v>
      </c>
      <c r="C12" s="71">
        <v>0</v>
      </c>
      <c r="D12" s="72">
        <v>0</v>
      </c>
    </row>
    <row r="13" spans="1:4" ht="20.25" x14ac:dyDescent="0.3">
      <c r="B13" s="74"/>
      <c r="C13" s="71"/>
      <c r="D13" s="72"/>
    </row>
    <row r="14" spans="1:4" ht="20.25" x14ac:dyDescent="0.3">
      <c r="B14" s="75" t="s">
        <v>1192</v>
      </c>
      <c r="C14" s="71">
        <f>SUM(C8:C13)</f>
        <v>399</v>
      </c>
      <c r="D14" s="72">
        <f>SUM(D8:D13)</f>
        <v>28613348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Sorted by Report No</vt:lpstr>
      <vt:lpstr>Sorted by Department</vt:lpstr>
      <vt:lpstr>Sorted by Vendor</vt:lpstr>
      <vt:lpstr>Analysis</vt:lpstr>
      <vt:lpstr>Summary</vt:lpstr>
      <vt:lpstr>Analysis!Print_Area</vt:lpstr>
      <vt:lpstr>'Sorted by Department'!Print_Area</vt:lpstr>
      <vt:lpstr>'Sorted by Report No'!Print_Area</vt:lpstr>
      <vt:lpstr>'Sorted by Vendor'!Print_Area</vt:lpstr>
      <vt:lpstr>Analysis!Print_Titles</vt:lpstr>
      <vt:lpstr>'Sorted by Department'!Print_Titles</vt:lpstr>
      <vt:lpstr>'Sorted by Report No'!Print_Titles</vt:lpstr>
      <vt:lpstr>'Sorted by Vendor'!Print_Titles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Kincannon</dc:creator>
  <cp:lastModifiedBy>Bryant Urrutia</cp:lastModifiedBy>
  <cp:lastPrinted>2017-07-26T22:34:55Z</cp:lastPrinted>
  <dcterms:created xsi:type="dcterms:W3CDTF">1998-02-11T21:28:34Z</dcterms:created>
  <dcterms:modified xsi:type="dcterms:W3CDTF">2017-07-26T22:34:58Z</dcterms:modified>
</cp:coreProperties>
</file>